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16320" windowHeight="420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2)"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租金 " sheetId="81" r:id="rId24"/>
    <sheet name="比较法-商业" sheetId="33"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房本1）"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 (房本2)" sheetId="78" r:id="rId47"/>
    <sheet name="办公案例" sheetId="77" r:id="rId48"/>
    <sheet name="商业案例"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23" hidden="1">'比较法-租金 '!$A$1:$L$49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'比较法-租金 '!$B$116:$M$116</definedName>
    <definedName name="商业层高">'比较法-商业'!$B$116:$M$116</definedName>
    <definedName name="商业成新度" localSheetId="23">'比较法-租金 '!$B$109:$M$109</definedName>
    <definedName name="商业成新度">'比较法-商业'!$B$109:$M$109</definedName>
    <definedName name="商业繁华度">定义!$L$1:$L$6</definedName>
    <definedName name="商业公共部分装修" localSheetId="23">'比较法-租金 '!$B$107:$M$107</definedName>
    <definedName name="商业公共部分装修">'比较法-商业'!$B$107:$M$107</definedName>
    <definedName name="商业基础设施水平" localSheetId="23">'比较法-租金 '!$B$112:$M$112</definedName>
    <definedName name="商业基础设施水平">'比较法-商业'!$B$112:$M$112</definedName>
    <definedName name="商业建筑结构" localSheetId="23">'比较法-租金 '!$B$105:$M$105</definedName>
    <definedName name="商业建筑结构">'比较法-商业'!$B$105:$M$105</definedName>
    <definedName name="商业交易情况" localSheetId="23">'比较法-租金 '!$A$61:$M$61</definedName>
    <definedName name="商业交易情况">'比较法-商业'!$A$61:$M$61</definedName>
    <definedName name="商业街名称">修正!$C$59:$C$119</definedName>
    <definedName name="商业进深比" localSheetId="23">'比较法-租金 '!$B$120:$M$120</definedName>
    <definedName name="商业进深比">'比较法-商业'!$B$120:$M$120</definedName>
    <definedName name="商业类型" localSheetId="23">'比较法-租金 '!$B$100:$M$100</definedName>
    <definedName name="商业类型">'比较法-商业'!$B$100:$M$100</definedName>
    <definedName name="商业临街状况" localSheetId="23">'比较法-租金 '!$B$86:$M$86</definedName>
    <definedName name="商业临街状况">'比较法-商业'!$B$86:$M$86</definedName>
    <definedName name="商业楼层" localSheetId="23">'比较法-租金 '!$B$92:$M$92</definedName>
    <definedName name="商业楼层">'比较法-商业'!$B$92:$M$92</definedName>
    <definedName name="商业内部装修" localSheetId="23">'比较法-租金 '!$B$122:$M$122</definedName>
    <definedName name="商业内部装修">'比较法-商业'!$B$122:$M$122</definedName>
    <definedName name="商业人流量" localSheetId="23">'比较法-租金 '!$B$90:$M$90</definedName>
    <definedName name="商业人流量">'比较法-商业'!$B$90:$M$90</definedName>
    <definedName name="商业业态" localSheetId="23">'比较法-租金 '!$B$114:$M$114</definedName>
    <definedName name="商业业态">'比较法-商业'!$B$114:$M$114</definedName>
    <definedName name="商业用途" localSheetId="23">'比较法-租金 '!$B$63:$M$63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 (房本2)'!$5:$5</definedName>
    <definedName name="一修多修正项2">'典型户型修正（房本1）'!$5:$5</definedName>
    <definedName name="一修多修正项3" localSheetId="46">'典型户型修正 (房本2)'!$7:$7</definedName>
    <definedName name="一修多修正项3">'典型户型修正（房本1）'!$7:$7</definedName>
    <definedName name="一修多修正项4" localSheetId="46">'典型户型修正 (房本2)'!$9:$9</definedName>
    <definedName name="一修多修正项4">'典型户型修正（房本1）'!$9:$9</definedName>
    <definedName name="一修多修正项5" localSheetId="46">'典型户型修正 (房本2)'!$11:$11</definedName>
    <definedName name="一修多修正项5">'典型户型修正（房本1）'!$11:$11</definedName>
    <definedName name="一修多修正项6" localSheetId="46">'典型户型修正 (房本2)'!$13:$13</definedName>
    <definedName name="一修多修正项6">'典型户型修正（房本1）'!$13:$13</definedName>
    <definedName name="一修多修正项7" localSheetId="46">'典型户型修正 (房本2)'!$15:$15</definedName>
    <definedName name="一修多修正项7">'典型户型修正（房本1）'!$15:$15</definedName>
    <definedName name="一修多修正项8" localSheetId="46">'典型户型修正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F20" i="6"/>
  <c r="F19"/>
  <c r="G47" i="33"/>
  <c r="E47"/>
  <c r="I47"/>
  <c r="B130" i="81"/>
  <c r="B128"/>
  <c r="B126"/>
  <c r="D125"/>
  <c r="E125"/>
  <c r="F125"/>
  <c r="G125"/>
  <c r="D123"/>
  <c r="E123"/>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D111"/>
  <c r="E111"/>
  <c r="F111"/>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D91"/>
  <c r="E91"/>
  <c r="F91"/>
  <c r="G91"/>
  <c r="H91"/>
  <c r="I91"/>
  <c r="J91"/>
  <c r="K91"/>
  <c r="L91"/>
  <c r="M91"/>
  <c r="B90"/>
  <c r="B88"/>
  <c r="D87"/>
  <c r="E87"/>
  <c r="F87"/>
  <c r="G87"/>
  <c r="H87"/>
  <c r="I87"/>
  <c r="J87"/>
  <c r="K87"/>
  <c r="L87"/>
  <c r="M87"/>
  <c r="D85"/>
  <c r="E85"/>
  <c r="F85"/>
  <c r="G85"/>
  <c r="D83"/>
  <c r="E83"/>
  <c r="F83"/>
  <c r="G83"/>
  <c r="D81"/>
  <c r="E81"/>
  <c r="F81"/>
  <c r="G81"/>
  <c r="D79"/>
  <c r="E79"/>
  <c r="F79"/>
  <c r="G79"/>
  <c r="D77"/>
  <c r="E77"/>
  <c r="F77"/>
  <c r="G77"/>
  <c r="B74"/>
  <c r="B72"/>
  <c r="B70"/>
  <c r="D69"/>
  <c r="E69"/>
  <c r="F69"/>
  <c r="G69"/>
  <c r="H69"/>
  <c r="I69"/>
  <c r="J69"/>
  <c r="K69"/>
  <c r="L69"/>
  <c r="M69"/>
  <c r="M67"/>
  <c r="L67"/>
  <c r="K67"/>
  <c r="J67"/>
  <c r="I67"/>
  <c r="H67"/>
  <c r="G67"/>
  <c r="F67"/>
  <c r="E67"/>
  <c r="D67"/>
  <c r="C67"/>
  <c r="G66"/>
  <c r="H66"/>
  <c r="I66"/>
  <c r="C63"/>
  <c r="B2" i="1"/>
  <c r="C7" i="81"/>
  <c r="C58"/>
  <c r="D58"/>
  <c r="E58"/>
  <c r="F58"/>
  <c r="G58"/>
  <c r="H58"/>
  <c r="I58"/>
  <c r="J58"/>
  <c r="K58"/>
  <c r="L58"/>
  <c r="M58"/>
  <c r="N58"/>
  <c r="O58"/>
  <c r="I54"/>
  <c r="J54"/>
  <c r="G54"/>
  <c r="H54"/>
  <c r="E54"/>
  <c r="F54"/>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C36"/>
  <c r="J36"/>
  <c r="AC36"/>
  <c r="J37"/>
  <c r="AC37"/>
  <c r="J38"/>
  <c r="AC38"/>
  <c r="J39"/>
  <c r="AC39"/>
  <c r="J40"/>
  <c r="AC40"/>
  <c r="J41"/>
  <c r="AC41"/>
  <c r="J42"/>
  <c r="AC42"/>
  <c r="J43"/>
  <c r="AC43"/>
  <c r="J44"/>
  <c r="AC44"/>
  <c r="J45"/>
  <c r="AC45"/>
  <c r="J46"/>
  <c r="AC46"/>
  <c r="V48"/>
  <c r="I48"/>
  <c r="R47"/>
  <c r="E7"/>
  <c r="F7"/>
  <c r="AA7"/>
  <c r="F8"/>
  <c r="AA8"/>
  <c r="F9"/>
  <c r="AA9"/>
  <c r="F10"/>
  <c r="AA10"/>
  <c r="F11"/>
  <c r="AA11"/>
  <c r="F12"/>
  <c r="AA12"/>
  <c r="F13"/>
  <c r="AA13"/>
  <c r="F14"/>
  <c r="AA14"/>
  <c r="F15"/>
  <c r="AA15"/>
  <c r="F17"/>
  <c r="AA17"/>
  <c r="F19"/>
  <c r="AA19"/>
  <c r="F21"/>
  <c r="AA21"/>
  <c r="F23"/>
  <c r="AA23"/>
  <c r="F25"/>
  <c r="AA25"/>
  <c r="F26"/>
  <c r="AA26"/>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R48"/>
  <c r="E48"/>
  <c r="I53"/>
  <c r="J53"/>
  <c r="T47"/>
  <c r="G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G48"/>
  <c r="G53"/>
  <c r="H53"/>
  <c r="E53"/>
  <c r="F53"/>
  <c r="I52"/>
  <c r="J52"/>
  <c r="G52"/>
  <c r="H52"/>
  <c r="E52"/>
  <c r="F52"/>
  <c r="R49"/>
  <c r="P49"/>
  <c r="C49"/>
  <c r="P48"/>
  <c r="C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E19" i="6"/>
  <c r="D3" i="81"/>
  <c r="B3"/>
  <c r="D2"/>
  <c r="B2"/>
  <c r="D3" i="4"/>
  <c r="E111" i="80" l="1"/>
  <c r="H111"/>
  <c r="D126"/>
  <c r="D127"/>
  <c r="A126"/>
  <c r="E109"/>
  <c r="H109"/>
  <c r="D124"/>
  <c r="D125"/>
  <c r="A124"/>
  <c r="E107"/>
  <c r="F38" i="33"/>
  <c r="AA38"/>
  <c r="C7"/>
  <c r="E7"/>
  <c r="C58"/>
  <c r="D58"/>
  <c r="E58"/>
  <c r="F58"/>
  <c r="G58"/>
  <c r="H58"/>
  <c r="I58"/>
  <c r="J58"/>
  <c r="K58"/>
  <c r="L58"/>
  <c r="M58"/>
  <c r="N58"/>
  <c r="O58"/>
  <c r="F7"/>
  <c r="AA7"/>
  <c r="D113"/>
  <c r="F37"/>
  <c r="AA37"/>
  <c r="C36"/>
  <c r="F36"/>
  <c r="AA36"/>
  <c r="R47"/>
  <c r="R48"/>
  <c r="H38"/>
  <c r="AB38"/>
  <c r="G7"/>
  <c r="H7"/>
  <c r="AB7"/>
  <c r="H37"/>
  <c r="AB37"/>
  <c r="H36"/>
  <c r="AB36"/>
  <c r="T47"/>
  <c r="T48"/>
  <c r="J38"/>
  <c r="AC38"/>
  <c r="I7"/>
  <c r="J7"/>
  <c r="AC7"/>
  <c r="J37"/>
  <c r="AC37"/>
  <c r="V47"/>
  <c r="J36"/>
  <c r="AC36"/>
  <c r="V48"/>
  <c r="R49"/>
  <c r="C49"/>
  <c r="B3"/>
  <c r="C20" i="9"/>
  <c r="A6" i="1"/>
  <c r="G1" i="67"/>
  <c r="F6"/>
  <c r="F8"/>
  <c r="K6" i="1"/>
  <c r="F7" i="67"/>
  <c r="F9"/>
  <c r="C6"/>
  <c r="C1" i="73"/>
  <c r="L1"/>
  <c r="F4"/>
  <c r="I1"/>
  <c r="B39" i="1"/>
  <c r="F11" i="67"/>
  <c r="C10"/>
  <c r="C5"/>
  <c r="C42" i="1"/>
  <c r="F32" i="67"/>
  <c r="C32"/>
  <c r="F33"/>
  <c r="C33"/>
  <c r="D3" i="6"/>
  <c r="E3"/>
  <c r="D19"/>
  <c r="F28"/>
  <c r="G28"/>
  <c r="E28"/>
  <c r="E20"/>
  <c r="F27"/>
  <c r="E27"/>
  <c r="K19"/>
  <c r="L19"/>
  <c r="M19"/>
  <c r="I19"/>
  <c r="H19"/>
  <c r="R19"/>
  <c r="R6" i="1"/>
  <c r="A7"/>
  <c r="D20" i="6"/>
  <c r="K20"/>
  <c r="L20"/>
  <c r="M20"/>
  <c r="I20"/>
  <c r="H20"/>
  <c r="R20"/>
  <c r="R7" i="1"/>
  <c r="F35" i="67"/>
  <c r="F34"/>
  <c r="C34"/>
  <c r="F31"/>
  <c r="C31"/>
  <c r="F43"/>
  <c r="S6" i="1"/>
  <c r="C14" i="67"/>
  <c r="F15"/>
  <c r="C15"/>
  <c r="F16"/>
  <c r="C16"/>
  <c r="F17"/>
  <c r="C17"/>
  <c r="F18"/>
  <c r="C18"/>
  <c r="C19"/>
  <c r="F20"/>
  <c r="C20"/>
  <c r="J1" i="73"/>
  <c r="D5"/>
  <c r="B22" i="1"/>
  <c r="E1" i="73"/>
  <c r="K1"/>
  <c r="D6"/>
  <c r="G1"/>
  <c r="B40" i="1"/>
  <c r="F24" i="67"/>
  <c r="F23"/>
  <c r="C23"/>
  <c r="F26"/>
  <c r="C26"/>
  <c r="F21"/>
  <c r="C24"/>
  <c r="C27"/>
  <c r="F28"/>
  <c r="C28"/>
  <c r="C29"/>
  <c r="F36"/>
  <c r="C36"/>
  <c r="F13"/>
  <c r="C13"/>
  <c r="F37"/>
  <c r="C37"/>
  <c r="F38"/>
  <c r="C38"/>
  <c r="C30"/>
  <c r="C39"/>
  <c r="F42"/>
  <c r="F40"/>
  <c r="F15" i="4"/>
  <c r="F6" i="1"/>
  <c r="L48" i="67"/>
  <c r="J51"/>
  <c r="M47"/>
  <c r="J53"/>
  <c r="F1"/>
  <c r="AE6" i="1"/>
  <c r="AE7"/>
  <c r="F41" i="67"/>
  <c r="C40"/>
  <c r="M6"/>
  <c r="M8"/>
  <c r="M7"/>
  <c r="M9"/>
  <c r="J6"/>
  <c r="M11"/>
  <c r="J10"/>
  <c r="J5"/>
  <c r="J26"/>
  <c r="J29"/>
  <c r="J57"/>
  <c r="J55"/>
  <c r="J58"/>
  <c r="J59"/>
  <c r="J60"/>
  <c r="L46"/>
  <c r="D2"/>
  <c r="B3"/>
  <c r="D20" i="9"/>
  <c r="G20"/>
  <c r="R24" i="31"/>
  <c r="S24"/>
  <c r="R25"/>
  <c r="S25"/>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R24" i="78"/>
  <c r="S24"/>
  <c r="R25"/>
  <c r="S25"/>
  <c r="R26"/>
  <c r="S26"/>
  <c r="R27"/>
  <c r="S27"/>
  <c r="R28"/>
  <c r="S28"/>
  <c r="R29"/>
  <c r="S29"/>
  <c r="R30"/>
  <c r="S30"/>
  <c r="S22"/>
  <c r="B20"/>
  <c r="C19" i="80"/>
  <c r="C17"/>
  <c r="D17"/>
  <c r="C18"/>
  <c r="B2" i="67"/>
  <c r="D19" i="80"/>
  <c r="D18"/>
  <c r="G19"/>
  <c r="C24"/>
  <c r="C32"/>
  <c r="H118"/>
  <c r="H101"/>
  <c r="H105"/>
  <c r="H106"/>
  <c r="H103"/>
  <c r="H107"/>
  <c r="D122"/>
  <c r="D123"/>
  <c r="A122"/>
  <c r="D120"/>
  <c r="D121"/>
  <c r="A120"/>
  <c r="K120"/>
  <c r="H119"/>
  <c r="C76" i="67"/>
  <c r="C75"/>
  <c r="C80"/>
  <c r="D35" i="80"/>
  <c r="C35"/>
  <c r="F118"/>
  <c r="F119"/>
  <c r="C34"/>
  <c r="D118"/>
  <c r="D119"/>
  <c r="M18"/>
  <c r="B118"/>
  <c r="I118"/>
  <c r="G118"/>
  <c r="E118"/>
  <c r="M19"/>
  <c r="C118"/>
  <c r="S2" i="4"/>
  <c r="A118" i="80"/>
  <c r="H112"/>
  <c r="H110"/>
  <c r="H108"/>
  <c r="C105"/>
  <c r="H104"/>
  <c r="C104"/>
  <c r="R22" i="31"/>
  <c r="B21"/>
  <c r="R22" i="78"/>
  <c r="B21"/>
  <c r="D20" i="80"/>
  <c r="D103"/>
  <c r="C20"/>
  <c r="C103"/>
  <c r="H102"/>
  <c r="D102"/>
  <c r="C102"/>
  <c r="D101"/>
  <c r="C101"/>
  <c r="D45"/>
  <c r="C85"/>
  <c r="D89"/>
  <c r="C89"/>
  <c r="C87"/>
  <c r="C91"/>
  <c r="C92"/>
  <c r="D93"/>
  <c r="C93"/>
  <c r="C94"/>
  <c r="C86"/>
  <c r="C95"/>
  <c r="C96"/>
  <c r="E96"/>
  <c r="E97"/>
  <c r="C97"/>
  <c r="E90"/>
  <c r="C72"/>
  <c r="C76"/>
  <c r="D77"/>
  <c r="C77"/>
  <c r="C74"/>
  <c r="D78"/>
  <c r="C78"/>
  <c r="C73"/>
  <c r="C79"/>
  <c r="C80"/>
  <c r="E80"/>
  <c r="E81"/>
  <c r="C81"/>
  <c r="H77"/>
  <c r="M49"/>
  <c r="L63"/>
  <c r="M63"/>
  <c r="L64"/>
  <c r="M64"/>
  <c r="L65"/>
  <c r="M65"/>
  <c r="L66"/>
  <c r="M66"/>
  <c r="L67"/>
  <c r="M67"/>
  <c r="L68"/>
  <c r="M68"/>
  <c r="M69"/>
  <c r="N69"/>
  <c r="D68"/>
  <c r="C64"/>
  <c r="C63"/>
  <c r="C67"/>
  <c r="C68"/>
  <c r="D54"/>
  <c r="D48"/>
  <c r="M52"/>
  <c r="I55"/>
  <c r="D55"/>
  <c r="M53"/>
  <c r="D58"/>
  <c r="D56"/>
  <c r="M54"/>
  <c r="D59"/>
  <c r="M55"/>
  <c r="M56"/>
  <c r="N57"/>
  <c r="N59"/>
  <c r="N61"/>
  <c r="J55"/>
  <c r="J56"/>
  <c r="J57"/>
  <c r="J59"/>
  <c r="J61"/>
  <c r="N60"/>
  <c r="F59"/>
  <c r="E59"/>
  <c r="N58"/>
  <c r="P57"/>
  <c r="N56"/>
  <c r="K56"/>
  <c r="F56"/>
  <c r="O55"/>
  <c r="N55"/>
  <c r="K55"/>
  <c r="F55"/>
  <c r="O54"/>
  <c r="N54"/>
  <c r="F54"/>
  <c r="O53"/>
  <c r="N53"/>
  <c r="F53"/>
  <c r="D53"/>
  <c r="F48"/>
  <c r="O52"/>
  <c r="E48"/>
  <c r="N52"/>
  <c r="F52"/>
  <c r="D52"/>
  <c r="K49"/>
  <c r="M48"/>
  <c r="M47"/>
  <c r="C79" i="67"/>
  <c r="D34" i="80"/>
  <c r="F33"/>
  <c r="D27"/>
  <c r="C25"/>
  <c r="D22"/>
  <c r="L19"/>
  <c r="G21"/>
  <c r="D21"/>
  <c r="C21"/>
  <c r="G20"/>
  <c r="L18"/>
  <c r="L4"/>
  <c r="K4"/>
  <c r="A2"/>
  <c r="H1"/>
  <c r="B29" i="1"/>
  <c r="F28" i="33"/>
  <c r="AA28"/>
  <c r="D91"/>
  <c r="F27"/>
  <c r="AA27"/>
  <c r="F26"/>
  <c r="AA26"/>
  <c r="D85"/>
  <c r="E85"/>
  <c r="F23"/>
  <c r="AA23"/>
  <c r="F25"/>
  <c r="AA25"/>
  <c r="F40"/>
  <c r="AA40"/>
  <c r="F33"/>
  <c r="AA33"/>
  <c r="B128"/>
  <c r="F45"/>
  <c r="AA45"/>
  <c r="B130"/>
  <c r="F46"/>
  <c r="AA46"/>
  <c r="H28"/>
  <c r="AB28"/>
  <c r="H27"/>
  <c r="AB27"/>
  <c r="H26"/>
  <c r="AB26"/>
  <c r="H23"/>
  <c r="AB23"/>
  <c r="H25"/>
  <c r="AB25"/>
  <c r="H40"/>
  <c r="AB40"/>
  <c r="H33"/>
  <c r="AB33"/>
  <c r="H45"/>
  <c r="AB45"/>
  <c r="H46"/>
  <c r="AB46"/>
  <c r="J28"/>
  <c r="AC28"/>
  <c r="J27"/>
  <c r="AC27"/>
  <c r="J26"/>
  <c r="AC26"/>
  <c r="J23"/>
  <c r="AC23"/>
  <c r="J25"/>
  <c r="AC25"/>
  <c r="J40"/>
  <c r="AC40"/>
  <c r="J33"/>
  <c r="AC33"/>
  <c r="J45"/>
  <c r="AC45"/>
  <c r="J46"/>
  <c r="AC46"/>
  <c r="BB14" i="3"/>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AZ5"/>
  <c r="AY6"/>
  <c r="BQ5"/>
  <c r="BS5"/>
  <c r="BR5"/>
  <c r="BT5"/>
  <c r="BA5"/>
  <c r="BB5"/>
  <c r="E8" i="6"/>
  <c r="C25" i="31"/>
  <c r="E25"/>
  <c r="C26"/>
  <c r="E26"/>
  <c r="C27"/>
  <c r="E27"/>
  <c r="C28"/>
  <c r="E28"/>
  <c r="D14" i="74"/>
  <c r="C63" i="33"/>
  <c r="F9"/>
  <c r="AA9"/>
  <c r="N6" i="1"/>
  <c r="D111" i="33"/>
  <c r="E111"/>
  <c r="F111"/>
  <c r="G111"/>
  <c r="D77"/>
  <c r="E77"/>
  <c r="F15"/>
  <c r="AA15"/>
  <c r="D117"/>
  <c r="F39"/>
  <c r="AA39"/>
  <c r="F8"/>
  <c r="AA8"/>
  <c r="F10"/>
  <c r="AA10"/>
  <c r="F11"/>
  <c r="AA11"/>
  <c r="B70"/>
  <c r="F12"/>
  <c r="AA12"/>
  <c r="B72"/>
  <c r="F13"/>
  <c r="AA13"/>
  <c r="B74"/>
  <c r="F14"/>
  <c r="AA14"/>
  <c r="D79"/>
  <c r="E79"/>
  <c r="F17"/>
  <c r="AA17"/>
  <c r="D81"/>
  <c r="F19"/>
  <c r="AA19"/>
  <c r="F21"/>
  <c r="AA21"/>
  <c r="B88"/>
  <c r="B90"/>
  <c r="B92"/>
  <c r="B94"/>
  <c r="F29"/>
  <c r="AA29"/>
  <c r="B96"/>
  <c r="F30"/>
  <c r="AA30"/>
  <c r="B98"/>
  <c r="F31"/>
  <c r="AA31"/>
  <c r="F32"/>
  <c r="AA32"/>
  <c r="F34"/>
  <c r="AA34"/>
  <c r="F35"/>
  <c r="AA35"/>
  <c r="F41"/>
  <c r="AA41"/>
  <c r="D123"/>
  <c r="F42"/>
  <c r="AA42"/>
  <c r="D125"/>
  <c r="F43"/>
  <c r="AA43"/>
  <c r="B126"/>
  <c r="F44"/>
  <c r="AA44"/>
  <c r="H9"/>
  <c r="AB9"/>
  <c r="H39"/>
  <c r="AB39"/>
  <c r="H15"/>
  <c r="AB15"/>
  <c r="H8"/>
  <c r="AB8"/>
  <c r="H10"/>
  <c r="AB10"/>
  <c r="H11"/>
  <c r="AB11"/>
  <c r="H12"/>
  <c r="AB12"/>
  <c r="H13"/>
  <c r="AB13"/>
  <c r="H14"/>
  <c r="AB14"/>
  <c r="H17"/>
  <c r="AB17"/>
  <c r="H19"/>
  <c r="AB19"/>
  <c r="H21"/>
  <c r="AB21"/>
  <c r="H29"/>
  <c r="AB29"/>
  <c r="H30"/>
  <c r="AB30"/>
  <c r="H31"/>
  <c r="AB31"/>
  <c r="H32"/>
  <c r="AB32"/>
  <c r="H34"/>
  <c r="AB34"/>
  <c r="H35"/>
  <c r="AB35"/>
  <c r="H41"/>
  <c r="AB41"/>
  <c r="H42"/>
  <c r="AB42"/>
  <c r="H43"/>
  <c r="AB43"/>
  <c r="H44"/>
  <c r="AB44"/>
  <c r="J15"/>
  <c r="AC15"/>
  <c r="J9"/>
  <c r="AC9"/>
  <c r="J39"/>
  <c r="AC39"/>
  <c r="J8"/>
  <c r="AC8"/>
  <c r="J10"/>
  <c r="AC10"/>
  <c r="J11"/>
  <c r="AC11"/>
  <c r="J12"/>
  <c r="AC12"/>
  <c r="J13"/>
  <c r="AC13"/>
  <c r="J14"/>
  <c r="AC14"/>
  <c r="J17"/>
  <c r="AC17"/>
  <c r="J19"/>
  <c r="AC19"/>
  <c r="J21"/>
  <c r="AC21"/>
  <c r="J29"/>
  <c r="AC29"/>
  <c r="J30"/>
  <c r="AC30"/>
  <c r="J31"/>
  <c r="AC31"/>
  <c r="J32"/>
  <c r="AC32"/>
  <c r="J34"/>
  <c r="AC34"/>
  <c r="J35"/>
  <c r="AC35"/>
  <c r="J41"/>
  <c r="AC41"/>
  <c r="J42"/>
  <c r="AC42"/>
  <c r="J43"/>
  <c r="AC43"/>
  <c r="J44"/>
  <c r="AC44"/>
  <c r="B43" i="1"/>
  <c r="B41"/>
  <c r="BB13" i="3"/>
  <c r="BC13"/>
  <c r="BD13"/>
  <c r="BE13"/>
  <c r="BF13"/>
  <c r="BG13"/>
  <c r="BH13"/>
  <c r="BI13"/>
  <c r="BJ13"/>
  <c r="BK13"/>
  <c r="BA13"/>
  <c r="BM13"/>
  <c r="BN13"/>
  <c r="BO13"/>
  <c r="BP13"/>
  <c r="BQ13"/>
  <c r="BR13"/>
  <c r="BS13"/>
  <c r="BT13"/>
  <c r="BL13"/>
  <c r="AZ13"/>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E21" i="6"/>
  <c r="E22"/>
  <c r="E23"/>
  <c r="E24"/>
  <c r="E25"/>
  <c r="E26"/>
  <c r="B52" i="1"/>
  <c r="Y6"/>
  <c r="J50" i="67"/>
  <c r="C17" i="9"/>
  <c r="D17"/>
  <c r="C18"/>
  <c r="D18"/>
  <c r="D6" i="78"/>
  <c r="E6"/>
  <c r="E29"/>
  <c r="M29"/>
  <c r="D8"/>
  <c r="G29"/>
  <c r="C29"/>
  <c r="E30"/>
  <c r="M30"/>
  <c r="G30"/>
  <c r="C30"/>
  <c r="I30"/>
  <c r="K30"/>
  <c r="O30"/>
  <c r="Q30"/>
  <c r="E31"/>
  <c r="M31"/>
  <c r="G31"/>
  <c r="C31"/>
  <c r="I31"/>
  <c r="K31"/>
  <c r="O31"/>
  <c r="Q31"/>
  <c r="R31"/>
  <c r="S31"/>
  <c r="E32"/>
  <c r="M32"/>
  <c r="G32"/>
  <c r="C32"/>
  <c r="I32"/>
  <c r="K32"/>
  <c r="O32"/>
  <c r="Q32"/>
  <c r="R32"/>
  <c r="S32"/>
  <c r="F6"/>
  <c r="E33"/>
  <c r="M33"/>
  <c r="G33"/>
  <c r="C33"/>
  <c r="I33"/>
  <c r="K33"/>
  <c r="O33"/>
  <c r="Q33"/>
  <c r="R33"/>
  <c r="S33"/>
  <c r="E34"/>
  <c r="M34"/>
  <c r="G34"/>
  <c r="C34"/>
  <c r="I34"/>
  <c r="K34"/>
  <c r="O34"/>
  <c r="Q34"/>
  <c r="R34"/>
  <c r="S34"/>
  <c r="E35"/>
  <c r="M35"/>
  <c r="G35"/>
  <c r="C35"/>
  <c r="I35"/>
  <c r="K35"/>
  <c r="O35"/>
  <c r="Q35"/>
  <c r="R35"/>
  <c r="S35"/>
  <c r="C25"/>
  <c r="E25"/>
  <c r="G25"/>
  <c r="C26"/>
  <c r="E26"/>
  <c r="G26"/>
  <c r="C27"/>
  <c r="E27"/>
  <c r="G27"/>
  <c r="C28"/>
  <c r="E28"/>
  <c r="G28"/>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B22"/>
  <c r="D8" i="31"/>
  <c r="G25"/>
  <c r="I25"/>
  <c r="K25"/>
  <c r="M25"/>
  <c r="O25"/>
  <c r="Q25"/>
  <c r="G26"/>
  <c r="I26"/>
  <c r="K26"/>
  <c r="M26"/>
  <c r="O26"/>
  <c r="Q26"/>
  <c r="G27"/>
  <c r="I27"/>
  <c r="K27"/>
  <c r="M27"/>
  <c r="O27"/>
  <c r="Q27"/>
  <c r="G28"/>
  <c r="I28"/>
  <c r="K28"/>
  <c r="M28"/>
  <c r="O28"/>
  <c r="Q28"/>
  <c r="G14" i="74"/>
  <c r="B22" i="31"/>
  <c r="B14" i="74"/>
  <c r="Q524" i="78"/>
  <c r="O524"/>
  <c r="M524"/>
  <c r="K524"/>
  <c r="I524"/>
  <c r="G524"/>
  <c r="E524"/>
  <c r="C524"/>
  <c r="Q523"/>
  <c r="O523"/>
  <c r="M523"/>
  <c r="K523"/>
  <c r="I523"/>
  <c r="G523"/>
  <c r="E523"/>
  <c r="C523"/>
  <c r="Q522"/>
  <c r="O522"/>
  <c r="M522"/>
  <c r="K522"/>
  <c r="I522"/>
  <c r="G522"/>
  <c r="E522"/>
  <c r="C522"/>
  <c r="Q521"/>
  <c r="O521"/>
  <c r="M521"/>
  <c r="K521"/>
  <c r="I521"/>
  <c r="G521"/>
  <c r="E521"/>
  <c r="C521"/>
  <c r="Q520"/>
  <c r="O520"/>
  <c r="M520"/>
  <c r="K520"/>
  <c r="I520"/>
  <c r="G520"/>
  <c r="E520"/>
  <c r="C520"/>
  <c r="Q519"/>
  <c r="O519"/>
  <c r="M519"/>
  <c r="K519"/>
  <c r="I519"/>
  <c r="G519"/>
  <c r="E519"/>
  <c r="C519"/>
  <c r="Q518"/>
  <c r="O518"/>
  <c r="M518"/>
  <c r="K518"/>
  <c r="I518"/>
  <c r="G518"/>
  <c r="E518"/>
  <c r="C518"/>
  <c r="Q517"/>
  <c r="O517"/>
  <c r="M517"/>
  <c r="K517"/>
  <c r="I517"/>
  <c r="G517"/>
  <c r="E517"/>
  <c r="C517"/>
  <c r="Q516"/>
  <c r="O516"/>
  <c r="M516"/>
  <c r="K516"/>
  <c r="I516"/>
  <c r="G516"/>
  <c r="E516"/>
  <c r="C516"/>
  <c r="Q515"/>
  <c r="O515"/>
  <c r="M515"/>
  <c r="K515"/>
  <c r="I515"/>
  <c r="G515"/>
  <c r="E515"/>
  <c r="C515"/>
  <c r="Q514"/>
  <c r="O514"/>
  <c r="M514"/>
  <c r="K514"/>
  <c r="I514"/>
  <c r="G514"/>
  <c r="E514"/>
  <c r="C514"/>
  <c r="Q513"/>
  <c r="O513"/>
  <c r="M513"/>
  <c r="K513"/>
  <c r="I513"/>
  <c r="G513"/>
  <c r="E513"/>
  <c r="C513"/>
  <c r="Q512"/>
  <c r="O512"/>
  <c r="M512"/>
  <c r="K512"/>
  <c r="I512"/>
  <c r="G512"/>
  <c r="E512"/>
  <c r="C512"/>
  <c r="Q511"/>
  <c r="O511"/>
  <c r="M511"/>
  <c r="K511"/>
  <c r="I511"/>
  <c r="G511"/>
  <c r="E511"/>
  <c r="C511"/>
  <c r="Q510"/>
  <c r="O510"/>
  <c r="M510"/>
  <c r="K510"/>
  <c r="I510"/>
  <c r="G510"/>
  <c r="E510"/>
  <c r="C510"/>
  <c r="Q509"/>
  <c r="O509"/>
  <c r="M509"/>
  <c r="K509"/>
  <c r="I509"/>
  <c r="G509"/>
  <c r="E509"/>
  <c r="C509"/>
  <c r="Q508"/>
  <c r="O508"/>
  <c r="M508"/>
  <c r="K508"/>
  <c r="I508"/>
  <c r="G508"/>
  <c r="E508"/>
  <c r="C508"/>
  <c r="Q507"/>
  <c r="O507"/>
  <c r="M507"/>
  <c r="K507"/>
  <c r="I507"/>
  <c r="G507"/>
  <c r="E507"/>
  <c r="C507"/>
  <c r="Q506"/>
  <c r="O506"/>
  <c r="M506"/>
  <c r="K506"/>
  <c r="I506"/>
  <c r="G506"/>
  <c r="E506"/>
  <c r="C506"/>
  <c r="Q505"/>
  <c r="O505"/>
  <c r="M505"/>
  <c r="K505"/>
  <c r="I505"/>
  <c r="G505"/>
  <c r="E505"/>
  <c r="C505"/>
  <c r="Q504"/>
  <c r="O504"/>
  <c r="M504"/>
  <c r="K504"/>
  <c r="I504"/>
  <c r="G504"/>
  <c r="E504"/>
  <c r="C504"/>
  <c r="Q503"/>
  <c r="O503"/>
  <c r="M503"/>
  <c r="K503"/>
  <c r="I503"/>
  <c r="G503"/>
  <c r="E503"/>
  <c r="C503"/>
  <c r="Q502"/>
  <c r="O502"/>
  <c r="M502"/>
  <c r="K502"/>
  <c r="I502"/>
  <c r="G502"/>
  <c r="E502"/>
  <c r="C502"/>
  <c r="Q501"/>
  <c r="O501"/>
  <c r="M501"/>
  <c r="K501"/>
  <c r="I501"/>
  <c r="G501"/>
  <c r="E501"/>
  <c r="C501"/>
  <c r="Q500"/>
  <c r="O500"/>
  <c r="M500"/>
  <c r="K500"/>
  <c r="I500"/>
  <c r="G500"/>
  <c r="E500"/>
  <c r="C500"/>
  <c r="Q499"/>
  <c r="O499"/>
  <c r="M499"/>
  <c r="K499"/>
  <c r="I499"/>
  <c r="G499"/>
  <c r="E499"/>
  <c r="C499"/>
  <c r="Q498"/>
  <c r="O498"/>
  <c r="M498"/>
  <c r="K498"/>
  <c r="I498"/>
  <c r="G498"/>
  <c r="E498"/>
  <c r="C498"/>
  <c r="Q497"/>
  <c r="O497"/>
  <c r="M497"/>
  <c r="K497"/>
  <c r="I497"/>
  <c r="G497"/>
  <c r="E497"/>
  <c r="C497"/>
  <c r="Q496"/>
  <c r="O496"/>
  <c r="M496"/>
  <c r="K496"/>
  <c r="I496"/>
  <c r="G496"/>
  <c r="E496"/>
  <c r="C496"/>
  <c r="Q495"/>
  <c r="O495"/>
  <c r="M495"/>
  <c r="K495"/>
  <c r="I495"/>
  <c r="G495"/>
  <c r="E495"/>
  <c r="C495"/>
  <c r="Q494"/>
  <c r="O494"/>
  <c r="M494"/>
  <c r="K494"/>
  <c r="I494"/>
  <c r="G494"/>
  <c r="E494"/>
  <c r="C494"/>
  <c r="Q493"/>
  <c r="O493"/>
  <c r="M493"/>
  <c r="K493"/>
  <c r="I493"/>
  <c r="G493"/>
  <c r="E493"/>
  <c r="C493"/>
  <c r="Q492"/>
  <c r="O492"/>
  <c r="M492"/>
  <c r="K492"/>
  <c r="I492"/>
  <c r="G492"/>
  <c r="E492"/>
  <c r="C492"/>
  <c r="Q491"/>
  <c r="O491"/>
  <c r="M491"/>
  <c r="K491"/>
  <c r="I491"/>
  <c r="G491"/>
  <c r="E491"/>
  <c r="C491"/>
  <c r="Q490"/>
  <c r="O490"/>
  <c r="M490"/>
  <c r="K490"/>
  <c r="I490"/>
  <c r="G490"/>
  <c r="E490"/>
  <c r="C490"/>
  <c r="Q489"/>
  <c r="O489"/>
  <c r="M489"/>
  <c r="K489"/>
  <c r="I489"/>
  <c r="G489"/>
  <c r="E489"/>
  <c r="C489"/>
  <c r="Q488"/>
  <c r="O488"/>
  <c r="M488"/>
  <c r="K488"/>
  <c r="I488"/>
  <c r="G488"/>
  <c r="E488"/>
  <c r="C488"/>
  <c r="Q487"/>
  <c r="O487"/>
  <c r="M487"/>
  <c r="K487"/>
  <c r="I487"/>
  <c r="G487"/>
  <c r="E487"/>
  <c r="C487"/>
  <c r="Q486"/>
  <c r="O486"/>
  <c r="M486"/>
  <c r="K486"/>
  <c r="I486"/>
  <c r="G486"/>
  <c r="E486"/>
  <c r="C486"/>
  <c r="Q485"/>
  <c r="O485"/>
  <c r="M485"/>
  <c r="K485"/>
  <c r="I485"/>
  <c r="G485"/>
  <c r="E485"/>
  <c r="C485"/>
  <c r="Q484"/>
  <c r="O484"/>
  <c r="M484"/>
  <c r="K484"/>
  <c r="I484"/>
  <c r="G484"/>
  <c r="E484"/>
  <c r="C484"/>
  <c r="Q483"/>
  <c r="O483"/>
  <c r="M483"/>
  <c r="K483"/>
  <c r="I483"/>
  <c r="G483"/>
  <c r="E483"/>
  <c r="C483"/>
  <c r="Q482"/>
  <c r="O482"/>
  <c r="M482"/>
  <c r="K482"/>
  <c r="I482"/>
  <c r="G482"/>
  <c r="E482"/>
  <c r="C482"/>
  <c r="Q481"/>
  <c r="O481"/>
  <c r="M481"/>
  <c r="K481"/>
  <c r="I481"/>
  <c r="G481"/>
  <c r="E481"/>
  <c r="C481"/>
  <c r="Q480"/>
  <c r="O480"/>
  <c r="M480"/>
  <c r="K480"/>
  <c r="I480"/>
  <c r="G480"/>
  <c r="E480"/>
  <c r="C480"/>
  <c r="Q479"/>
  <c r="O479"/>
  <c r="M479"/>
  <c r="K479"/>
  <c r="I479"/>
  <c r="G479"/>
  <c r="E479"/>
  <c r="C479"/>
  <c r="Q478"/>
  <c r="O478"/>
  <c r="M478"/>
  <c r="K478"/>
  <c r="I478"/>
  <c r="G478"/>
  <c r="E478"/>
  <c r="C478"/>
  <c r="Q477"/>
  <c r="O477"/>
  <c r="M477"/>
  <c r="K477"/>
  <c r="I477"/>
  <c r="G477"/>
  <c r="E477"/>
  <c r="C477"/>
  <c r="Q476"/>
  <c r="O476"/>
  <c r="M476"/>
  <c r="K476"/>
  <c r="I476"/>
  <c r="G476"/>
  <c r="E476"/>
  <c r="C476"/>
  <c r="Q475"/>
  <c r="O475"/>
  <c r="M475"/>
  <c r="K475"/>
  <c r="I475"/>
  <c r="G475"/>
  <c r="E475"/>
  <c r="C475"/>
  <c r="Q474"/>
  <c r="O474"/>
  <c r="M474"/>
  <c r="K474"/>
  <c r="I474"/>
  <c r="G474"/>
  <c r="E474"/>
  <c r="C474"/>
  <c r="Q473"/>
  <c r="O473"/>
  <c r="M473"/>
  <c r="K473"/>
  <c r="I473"/>
  <c r="G473"/>
  <c r="E473"/>
  <c r="C473"/>
  <c r="Q472"/>
  <c r="O472"/>
  <c r="M472"/>
  <c r="K472"/>
  <c r="I472"/>
  <c r="G472"/>
  <c r="E472"/>
  <c r="C472"/>
  <c r="Q471"/>
  <c r="O471"/>
  <c r="M471"/>
  <c r="K471"/>
  <c r="I471"/>
  <c r="G471"/>
  <c r="E471"/>
  <c r="C471"/>
  <c r="Q470"/>
  <c r="O470"/>
  <c r="M470"/>
  <c r="K470"/>
  <c r="I470"/>
  <c r="G470"/>
  <c r="E470"/>
  <c r="C470"/>
  <c r="Q469"/>
  <c r="O469"/>
  <c r="M469"/>
  <c r="K469"/>
  <c r="I469"/>
  <c r="G469"/>
  <c r="E469"/>
  <c r="C469"/>
  <c r="Q468"/>
  <c r="O468"/>
  <c r="M468"/>
  <c r="K468"/>
  <c r="I468"/>
  <c r="G468"/>
  <c r="E468"/>
  <c r="C468"/>
  <c r="Q467"/>
  <c r="O467"/>
  <c r="M467"/>
  <c r="K467"/>
  <c r="I467"/>
  <c r="G467"/>
  <c r="E467"/>
  <c r="C467"/>
  <c r="Q466"/>
  <c r="O466"/>
  <c r="M466"/>
  <c r="K466"/>
  <c r="I466"/>
  <c r="G466"/>
  <c r="E466"/>
  <c r="C466"/>
  <c r="Q465"/>
  <c r="O465"/>
  <c r="M465"/>
  <c r="K465"/>
  <c r="I465"/>
  <c r="G465"/>
  <c r="E465"/>
  <c r="C465"/>
  <c r="Q464"/>
  <c r="O464"/>
  <c r="M464"/>
  <c r="K464"/>
  <c r="I464"/>
  <c r="G464"/>
  <c r="E464"/>
  <c r="C464"/>
  <c r="Q463"/>
  <c r="O463"/>
  <c r="M463"/>
  <c r="K463"/>
  <c r="I463"/>
  <c r="G463"/>
  <c r="E463"/>
  <c r="C463"/>
  <c r="Q462"/>
  <c r="O462"/>
  <c r="M462"/>
  <c r="K462"/>
  <c r="I462"/>
  <c r="G462"/>
  <c r="E462"/>
  <c r="C462"/>
  <c r="Q461"/>
  <c r="O461"/>
  <c r="M461"/>
  <c r="K461"/>
  <c r="I461"/>
  <c r="G461"/>
  <c r="E461"/>
  <c r="C461"/>
  <c r="Q460"/>
  <c r="O460"/>
  <c r="M460"/>
  <c r="K460"/>
  <c r="I460"/>
  <c r="G460"/>
  <c r="E460"/>
  <c r="C460"/>
  <c r="Q459"/>
  <c r="O459"/>
  <c r="M459"/>
  <c r="K459"/>
  <c r="I459"/>
  <c r="G459"/>
  <c r="E459"/>
  <c r="C459"/>
  <c r="Q458"/>
  <c r="O458"/>
  <c r="M458"/>
  <c r="K458"/>
  <c r="I458"/>
  <c r="G458"/>
  <c r="E458"/>
  <c r="C458"/>
  <c r="Q457"/>
  <c r="O457"/>
  <c r="M457"/>
  <c r="K457"/>
  <c r="I457"/>
  <c r="G457"/>
  <c r="E457"/>
  <c r="C457"/>
  <c r="Q456"/>
  <c r="O456"/>
  <c r="M456"/>
  <c r="K456"/>
  <c r="I456"/>
  <c r="G456"/>
  <c r="E456"/>
  <c r="C456"/>
  <c r="Q455"/>
  <c r="O455"/>
  <c r="M455"/>
  <c r="K455"/>
  <c r="I455"/>
  <c r="G455"/>
  <c r="E455"/>
  <c r="C455"/>
  <c r="Q454"/>
  <c r="O454"/>
  <c r="M454"/>
  <c r="K454"/>
  <c r="I454"/>
  <c r="G454"/>
  <c r="E454"/>
  <c r="C454"/>
  <c r="Q453"/>
  <c r="O453"/>
  <c r="M453"/>
  <c r="K453"/>
  <c r="I453"/>
  <c r="G453"/>
  <c r="E453"/>
  <c r="C453"/>
  <c r="Q452"/>
  <c r="O452"/>
  <c r="M452"/>
  <c r="K452"/>
  <c r="I452"/>
  <c r="G452"/>
  <c r="E452"/>
  <c r="C452"/>
  <c r="Q451"/>
  <c r="O451"/>
  <c r="M451"/>
  <c r="K451"/>
  <c r="I451"/>
  <c r="G451"/>
  <c r="E451"/>
  <c r="C451"/>
  <c r="Q450"/>
  <c r="O450"/>
  <c r="M450"/>
  <c r="K450"/>
  <c r="I450"/>
  <c r="G450"/>
  <c r="E450"/>
  <c r="C450"/>
  <c r="Q449"/>
  <c r="O449"/>
  <c r="M449"/>
  <c r="K449"/>
  <c r="I449"/>
  <c r="G449"/>
  <c r="E449"/>
  <c r="C449"/>
  <c r="Q448"/>
  <c r="O448"/>
  <c r="M448"/>
  <c r="K448"/>
  <c r="I448"/>
  <c r="G448"/>
  <c r="E448"/>
  <c r="C448"/>
  <c r="Q447"/>
  <c r="O447"/>
  <c r="M447"/>
  <c r="K447"/>
  <c r="I447"/>
  <c r="G447"/>
  <c r="E447"/>
  <c r="C447"/>
  <c r="Q446"/>
  <c r="O446"/>
  <c r="M446"/>
  <c r="K446"/>
  <c r="I446"/>
  <c r="G446"/>
  <c r="E446"/>
  <c r="C446"/>
  <c r="Q445"/>
  <c r="O445"/>
  <c r="M445"/>
  <c r="K445"/>
  <c r="I445"/>
  <c r="G445"/>
  <c r="E445"/>
  <c r="C445"/>
  <c r="Q444"/>
  <c r="O444"/>
  <c r="M444"/>
  <c r="K444"/>
  <c r="I444"/>
  <c r="G444"/>
  <c r="E444"/>
  <c r="C444"/>
  <c r="Q443"/>
  <c r="O443"/>
  <c r="M443"/>
  <c r="K443"/>
  <c r="I443"/>
  <c r="G443"/>
  <c r="E443"/>
  <c r="C443"/>
  <c r="Q442"/>
  <c r="O442"/>
  <c r="M442"/>
  <c r="K442"/>
  <c r="I442"/>
  <c r="G442"/>
  <c r="E442"/>
  <c r="C442"/>
  <c r="Q441"/>
  <c r="O441"/>
  <c r="M441"/>
  <c r="K441"/>
  <c r="I441"/>
  <c r="G441"/>
  <c r="E441"/>
  <c r="C441"/>
  <c r="Q440"/>
  <c r="O440"/>
  <c r="M440"/>
  <c r="K440"/>
  <c r="I440"/>
  <c r="G440"/>
  <c r="E440"/>
  <c r="C440"/>
  <c r="Q439"/>
  <c r="O439"/>
  <c r="M439"/>
  <c r="K439"/>
  <c r="I439"/>
  <c r="G439"/>
  <c r="E439"/>
  <c r="C439"/>
  <c r="Q438"/>
  <c r="O438"/>
  <c r="M438"/>
  <c r="K438"/>
  <c r="I438"/>
  <c r="G438"/>
  <c r="E438"/>
  <c r="C438"/>
  <c r="Q437"/>
  <c r="O437"/>
  <c r="M437"/>
  <c r="K437"/>
  <c r="I437"/>
  <c r="G437"/>
  <c r="E437"/>
  <c r="C437"/>
  <c r="Q436"/>
  <c r="O436"/>
  <c r="M436"/>
  <c r="K436"/>
  <c r="I436"/>
  <c r="G436"/>
  <c r="E436"/>
  <c r="C436"/>
  <c r="Q435"/>
  <c r="O435"/>
  <c r="M435"/>
  <c r="K435"/>
  <c r="I435"/>
  <c r="G435"/>
  <c r="E435"/>
  <c r="C435"/>
  <c r="Q434"/>
  <c r="O434"/>
  <c r="M434"/>
  <c r="K434"/>
  <c r="I434"/>
  <c r="G434"/>
  <c r="E434"/>
  <c r="C434"/>
  <c r="Q433"/>
  <c r="O433"/>
  <c r="M433"/>
  <c r="K433"/>
  <c r="I433"/>
  <c r="G433"/>
  <c r="E433"/>
  <c r="C433"/>
  <c r="Q432"/>
  <c r="O432"/>
  <c r="M432"/>
  <c r="K432"/>
  <c r="I432"/>
  <c r="G432"/>
  <c r="E432"/>
  <c r="C432"/>
  <c r="Q431"/>
  <c r="O431"/>
  <c r="M431"/>
  <c r="K431"/>
  <c r="I431"/>
  <c r="G431"/>
  <c r="E431"/>
  <c r="C431"/>
  <c r="Q430"/>
  <c r="O430"/>
  <c r="M430"/>
  <c r="K430"/>
  <c r="I430"/>
  <c r="G430"/>
  <c r="E430"/>
  <c r="C430"/>
  <c r="Q429"/>
  <c r="O429"/>
  <c r="M429"/>
  <c r="K429"/>
  <c r="I429"/>
  <c r="G429"/>
  <c r="E429"/>
  <c r="C429"/>
  <c r="Q428"/>
  <c r="O428"/>
  <c r="M428"/>
  <c r="K428"/>
  <c r="I428"/>
  <c r="G428"/>
  <c r="E428"/>
  <c r="C428"/>
  <c r="Q427"/>
  <c r="O427"/>
  <c r="M427"/>
  <c r="K427"/>
  <c r="I427"/>
  <c r="G427"/>
  <c r="E427"/>
  <c r="C427"/>
  <c r="Q426"/>
  <c r="O426"/>
  <c r="M426"/>
  <c r="K426"/>
  <c r="I426"/>
  <c r="G426"/>
  <c r="E426"/>
  <c r="C426"/>
  <c r="Q425"/>
  <c r="O425"/>
  <c r="M425"/>
  <c r="K425"/>
  <c r="I425"/>
  <c r="G425"/>
  <c r="E425"/>
  <c r="C425"/>
  <c r="Q424"/>
  <c r="O424"/>
  <c r="M424"/>
  <c r="K424"/>
  <c r="I424"/>
  <c r="G424"/>
  <c r="E424"/>
  <c r="C424"/>
  <c r="Q423"/>
  <c r="O423"/>
  <c r="M423"/>
  <c r="K423"/>
  <c r="I423"/>
  <c r="G423"/>
  <c r="E423"/>
  <c r="C423"/>
  <c r="Q422"/>
  <c r="O422"/>
  <c r="M422"/>
  <c r="K422"/>
  <c r="I422"/>
  <c r="G422"/>
  <c r="E422"/>
  <c r="C422"/>
  <c r="Q421"/>
  <c r="O421"/>
  <c r="M421"/>
  <c r="K421"/>
  <c r="I421"/>
  <c r="G421"/>
  <c r="E421"/>
  <c r="C421"/>
  <c r="Q420"/>
  <c r="O420"/>
  <c r="M420"/>
  <c r="K420"/>
  <c r="I420"/>
  <c r="G420"/>
  <c r="E420"/>
  <c r="C420"/>
  <c r="Q419"/>
  <c r="O419"/>
  <c r="M419"/>
  <c r="K419"/>
  <c r="I419"/>
  <c r="G419"/>
  <c r="E419"/>
  <c r="C419"/>
  <c r="Q418"/>
  <c r="O418"/>
  <c r="M418"/>
  <c r="K418"/>
  <c r="I418"/>
  <c r="G418"/>
  <c r="E418"/>
  <c r="C418"/>
  <c r="Q417"/>
  <c r="O417"/>
  <c r="M417"/>
  <c r="K417"/>
  <c r="I417"/>
  <c r="G417"/>
  <c r="E417"/>
  <c r="C417"/>
  <c r="Q416"/>
  <c r="O416"/>
  <c r="M416"/>
  <c r="K416"/>
  <c r="I416"/>
  <c r="G416"/>
  <c r="E416"/>
  <c r="C416"/>
  <c r="Q415"/>
  <c r="O415"/>
  <c r="M415"/>
  <c r="K415"/>
  <c r="I415"/>
  <c r="G415"/>
  <c r="E415"/>
  <c r="C415"/>
  <c r="Q414"/>
  <c r="O414"/>
  <c r="M414"/>
  <c r="K414"/>
  <c r="I414"/>
  <c r="G414"/>
  <c r="E414"/>
  <c r="C414"/>
  <c r="Q413"/>
  <c r="O413"/>
  <c r="M413"/>
  <c r="K413"/>
  <c r="I413"/>
  <c r="G413"/>
  <c r="E413"/>
  <c r="C413"/>
  <c r="Q412"/>
  <c r="O412"/>
  <c r="M412"/>
  <c r="K412"/>
  <c r="I412"/>
  <c r="G412"/>
  <c r="E412"/>
  <c r="C412"/>
  <c r="Q411"/>
  <c r="O411"/>
  <c r="M411"/>
  <c r="K411"/>
  <c r="I411"/>
  <c r="G411"/>
  <c r="E411"/>
  <c r="C411"/>
  <c r="Q410"/>
  <c r="O410"/>
  <c r="M410"/>
  <c r="K410"/>
  <c r="I410"/>
  <c r="G410"/>
  <c r="E410"/>
  <c r="C410"/>
  <c r="Q409"/>
  <c r="O409"/>
  <c r="M409"/>
  <c r="K409"/>
  <c r="I409"/>
  <c r="G409"/>
  <c r="E409"/>
  <c r="C409"/>
  <c r="Q408"/>
  <c r="O408"/>
  <c r="M408"/>
  <c r="K408"/>
  <c r="I408"/>
  <c r="G408"/>
  <c r="E408"/>
  <c r="C408"/>
  <c r="Q407"/>
  <c r="O407"/>
  <c r="M407"/>
  <c r="K407"/>
  <c r="I407"/>
  <c r="G407"/>
  <c r="E407"/>
  <c r="C407"/>
  <c r="Q406"/>
  <c r="O406"/>
  <c r="M406"/>
  <c r="K406"/>
  <c r="I406"/>
  <c r="G406"/>
  <c r="E406"/>
  <c r="C406"/>
  <c r="Q405"/>
  <c r="O405"/>
  <c r="M405"/>
  <c r="K405"/>
  <c r="I405"/>
  <c r="G405"/>
  <c r="E405"/>
  <c r="C405"/>
  <c r="Q404"/>
  <c r="O404"/>
  <c r="M404"/>
  <c r="K404"/>
  <c r="I404"/>
  <c r="G404"/>
  <c r="E404"/>
  <c r="C404"/>
  <c r="Q403"/>
  <c r="O403"/>
  <c r="M403"/>
  <c r="K403"/>
  <c r="I403"/>
  <c r="G403"/>
  <c r="E403"/>
  <c r="C403"/>
  <c r="Q402"/>
  <c r="O402"/>
  <c r="M402"/>
  <c r="K402"/>
  <c r="I402"/>
  <c r="G402"/>
  <c r="E402"/>
  <c r="C402"/>
  <c r="Q401"/>
  <c r="O401"/>
  <c r="M401"/>
  <c r="K401"/>
  <c r="I401"/>
  <c r="G401"/>
  <c r="E401"/>
  <c r="C401"/>
  <c r="Q400"/>
  <c r="O400"/>
  <c r="M400"/>
  <c r="K400"/>
  <c r="I400"/>
  <c r="G400"/>
  <c r="E400"/>
  <c r="C400"/>
  <c r="Q399"/>
  <c r="O399"/>
  <c r="M399"/>
  <c r="K399"/>
  <c r="I399"/>
  <c r="G399"/>
  <c r="E399"/>
  <c r="C399"/>
  <c r="Q398"/>
  <c r="O398"/>
  <c r="M398"/>
  <c r="K398"/>
  <c r="I398"/>
  <c r="G398"/>
  <c r="E398"/>
  <c r="C398"/>
  <c r="Q397"/>
  <c r="O397"/>
  <c r="M397"/>
  <c r="K397"/>
  <c r="I397"/>
  <c r="G397"/>
  <c r="E397"/>
  <c r="C397"/>
  <c r="Q396"/>
  <c r="O396"/>
  <c r="M396"/>
  <c r="K396"/>
  <c r="I396"/>
  <c r="G396"/>
  <c r="E396"/>
  <c r="C396"/>
  <c r="Q395"/>
  <c r="O395"/>
  <c r="M395"/>
  <c r="K395"/>
  <c r="I395"/>
  <c r="G395"/>
  <c r="E395"/>
  <c r="C395"/>
  <c r="Q394"/>
  <c r="O394"/>
  <c r="M394"/>
  <c r="K394"/>
  <c r="I394"/>
  <c r="G394"/>
  <c r="E394"/>
  <c r="C394"/>
  <c r="Q393"/>
  <c r="O393"/>
  <c r="M393"/>
  <c r="K393"/>
  <c r="I393"/>
  <c r="G393"/>
  <c r="E393"/>
  <c r="C393"/>
  <c r="Q392"/>
  <c r="O392"/>
  <c r="M392"/>
  <c r="K392"/>
  <c r="I392"/>
  <c r="G392"/>
  <c r="E392"/>
  <c r="C392"/>
  <c r="Q391"/>
  <c r="O391"/>
  <c r="M391"/>
  <c r="K391"/>
  <c r="I391"/>
  <c r="G391"/>
  <c r="E391"/>
  <c r="C391"/>
  <c r="Q390"/>
  <c r="O390"/>
  <c r="M390"/>
  <c r="K390"/>
  <c r="I390"/>
  <c r="G390"/>
  <c r="E390"/>
  <c r="C390"/>
  <c r="Q389"/>
  <c r="O389"/>
  <c r="M389"/>
  <c r="K389"/>
  <c r="I389"/>
  <c r="G389"/>
  <c r="E389"/>
  <c r="C389"/>
  <c r="Q388"/>
  <c r="O388"/>
  <c r="M388"/>
  <c r="K388"/>
  <c r="I388"/>
  <c r="G388"/>
  <c r="E388"/>
  <c r="C388"/>
  <c r="Q387"/>
  <c r="O387"/>
  <c r="M387"/>
  <c r="K387"/>
  <c r="I387"/>
  <c r="G387"/>
  <c r="E387"/>
  <c r="C387"/>
  <c r="Q386"/>
  <c r="O386"/>
  <c r="M386"/>
  <c r="K386"/>
  <c r="I386"/>
  <c r="G386"/>
  <c r="E386"/>
  <c r="C386"/>
  <c r="Q385"/>
  <c r="O385"/>
  <c r="M385"/>
  <c r="K385"/>
  <c r="I385"/>
  <c r="G385"/>
  <c r="E385"/>
  <c r="C385"/>
  <c r="Q384"/>
  <c r="O384"/>
  <c r="M384"/>
  <c r="K384"/>
  <c r="I384"/>
  <c r="G384"/>
  <c r="E384"/>
  <c r="C384"/>
  <c r="Q383"/>
  <c r="O383"/>
  <c r="M383"/>
  <c r="K383"/>
  <c r="I383"/>
  <c r="G383"/>
  <c r="E383"/>
  <c r="C383"/>
  <c r="Q382"/>
  <c r="O382"/>
  <c r="M382"/>
  <c r="K382"/>
  <c r="I382"/>
  <c r="G382"/>
  <c r="E382"/>
  <c r="C382"/>
  <c r="Q381"/>
  <c r="O381"/>
  <c r="M381"/>
  <c r="K381"/>
  <c r="I381"/>
  <c r="G381"/>
  <c r="E381"/>
  <c r="C381"/>
  <c r="Q380"/>
  <c r="O380"/>
  <c r="M380"/>
  <c r="K380"/>
  <c r="I380"/>
  <c r="G380"/>
  <c r="E380"/>
  <c r="C380"/>
  <c r="Q379"/>
  <c r="O379"/>
  <c r="M379"/>
  <c r="K379"/>
  <c r="I379"/>
  <c r="G379"/>
  <c r="E379"/>
  <c r="C379"/>
  <c r="Q378"/>
  <c r="O378"/>
  <c r="M378"/>
  <c r="K378"/>
  <c r="I378"/>
  <c r="G378"/>
  <c r="E378"/>
  <c r="C378"/>
  <c r="Q377"/>
  <c r="O377"/>
  <c r="M377"/>
  <c r="K377"/>
  <c r="I377"/>
  <c r="G377"/>
  <c r="E377"/>
  <c r="C377"/>
  <c r="Q376"/>
  <c r="O376"/>
  <c r="M376"/>
  <c r="K376"/>
  <c r="I376"/>
  <c r="G376"/>
  <c r="E376"/>
  <c r="C376"/>
  <c r="Q375"/>
  <c r="O375"/>
  <c r="M375"/>
  <c r="K375"/>
  <c r="I375"/>
  <c r="G375"/>
  <c r="E375"/>
  <c r="C375"/>
  <c r="Q374"/>
  <c r="O374"/>
  <c r="M374"/>
  <c r="K374"/>
  <c r="I374"/>
  <c r="G374"/>
  <c r="E374"/>
  <c r="C374"/>
  <c r="Q373"/>
  <c r="O373"/>
  <c r="M373"/>
  <c r="K373"/>
  <c r="I373"/>
  <c r="G373"/>
  <c r="E373"/>
  <c r="C373"/>
  <c r="Q372"/>
  <c r="O372"/>
  <c r="M372"/>
  <c r="K372"/>
  <c r="I372"/>
  <c r="G372"/>
  <c r="E372"/>
  <c r="C372"/>
  <c r="Q371"/>
  <c r="O371"/>
  <c r="M371"/>
  <c r="K371"/>
  <c r="I371"/>
  <c r="G371"/>
  <c r="E371"/>
  <c r="C371"/>
  <c r="Q370"/>
  <c r="O370"/>
  <c r="M370"/>
  <c r="K370"/>
  <c r="I370"/>
  <c r="G370"/>
  <c r="E370"/>
  <c r="C370"/>
  <c r="Q369"/>
  <c r="O369"/>
  <c r="M369"/>
  <c r="K369"/>
  <c r="I369"/>
  <c r="G369"/>
  <c r="E369"/>
  <c r="C369"/>
  <c r="Q368"/>
  <c r="O368"/>
  <c r="M368"/>
  <c r="K368"/>
  <c r="I368"/>
  <c r="G368"/>
  <c r="E368"/>
  <c r="C368"/>
  <c r="Q367"/>
  <c r="O367"/>
  <c r="M367"/>
  <c r="K367"/>
  <c r="I367"/>
  <c r="G367"/>
  <c r="E367"/>
  <c r="C367"/>
  <c r="Q366"/>
  <c r="O366"/>
  <c r="M366"/>
  <c r="K366"/>
  <c r="I366"/>
  <c r="G366"/>
  <c r="E366"/>
  <c r="C366"/>
  <c r="Q365"/>
  <c r="O365"/>
  <c r="M365"/>
  <c r="K365"/>
  <c r="I365"/>
  <c r="G365"/>
  <c r="E365"/>
  <c r="C365"/>
  <c r="Q364"/>
  <c r="O364"/>
  <c r="M364"/>
  <c r="K364"/>
  <c r="I364"/>
  <c r="G364"/>
  <c r="E364"/>
  <c r="C364"/>
  <c r="Q363"/>
  <c r="O363"/>
  <c r="M363"/>
  <c r="K363"/>
  <c r="I363"/>
  <c r="G363"/>
  <c r="E363"/>
  <c r="C363"/>
  <c r="Q362"/>
  <c r="O362"/>
  <c r="M362"/>
  <c r="K362"/>
  <c r="I362"/>
  <c r="G362"/>
  <c r="E362"/>
  <c r="C362"/>
  <c r="Q361"/>
  <c r="O361"/>
  <c r="M361"/>
  <c r="K361"/>
  <c r="I361"/>
  <c r="G361"/>
  <c r="E361"/>
  <c r="C361"/>
  <c r="Q360"/>
  <c r="O360"/>
  <c r="M360"/>
  <c r="K360"/>
  <c r="I360"/>
  <c r="G360"/>
  <c r="E360"/>
  <c r="C360"/>
  <c r="Q359"/>
  <c r="O359"/>
  <c r="M359"/>
  <c r="K359"/>
  <c r="I359"/>
  <c r="G359"/>
  <c r="E359"/>
  <c r="C359"/>
  <c r="Q358"/>
  <c r="O358"/>
  <c r="M358"/>
  <c r="K358"/>
  <c r="I358"/>
  <c r="G358"/>
  <c r="E358"/>
  <c r="C358"/>
  <c r="Q357"/>
  <c r="O357"/>
  <c r="M357"/>
  <c r="K357"/>
  <c r="I357"/>
  <c r="G357"/>
  <c r="E357"/>
  <c r="C357"/>
  <c r="Q356"/>
  <c r="O356"/>
  <c r="M356"/>
  <c r="K356"/>
  <c r="I356"/>
  <c r="G356"/>
  <c r="E356"/>
  <c r="C356"/>
  <c r="Q355"/>
  <c r="O355"/>
  <c r="M355"/>
  <c r="K355"/>
  <c r="I355"/>
  <c r="G355"/>
  <c r="E355"/>
  <c r="C355"/>
  <c r="Q354"/>
  <c r="O354"/>
  <c r="M354"/>
  <c r="K354"/>
  <c r="I354"/>
  <c r="G354"/>
  <c r="E354"/>
  <c r="C354"/>
  <c r="Q353"/>
  <c r="O353"/>
  <c r="M353"/>
  <c r="K353"/>
  <c r="I353"/>
  <c r="G353"/>
  <c r="E353"/>
  <c r="C353"/>
  <c r="Q352"/>
  <c r="O352"/>
  <c r="M352"/>
  <c r="K352"/>
  <c r="I352"/>
  <c r="G352"/>
  <c r="E352"/>
  <c r="C352"/>
  <c r="Q351"/>
  <c r="O351"/>
  <c r="M351"/>
  <c r="K351"/>
  <c r="I351"/>
  <c r="G351"/>
  <c r="E351"/>
  <c r="C351"/>
  <c r="Q350"/>
  <c r="O350"/>
  <c r="M350"/>
  <c r="K350"/>
  <c r="I350"/>
  <c r="G350"/>
  <c r="E350"/>
  <c r="C350"/>
  <c r="Q349"/>
  <c r="O349"/>
  <c r="M349"/>
  <c r="K349"/>
  <c r="I349"/>
  <c r="G349"/>
  <c r="E349"/>
  <c r="C349"/>
  <c r="Q348"/>
  <c r="O348"/>
  <c r="M348"/>
  <c r="K348"/>
  <c r="I348"/>
  <c r="G348"/>
  <c r="E348"/>
  <c r="C348"/>
  <c r="Q347"/>
  <c r="O347"/>
  <c r="M347"/>
  <c r="K347"/>
  <c r="I347"/>
  <c r="G347"/>
  <c r="E347"/>
  <c r="C347"/>
  <c r="Q346"/>
  <c r="O346"/>
  <c r="M346"/>
  <c r="K346"/>
  <c r="I346"/>
  <c r="G346"/>
  <c r="E346"/>
  <c r="C346"/>
  <c r="Q345"/>
  <c r="O345"/>
  <c r="M345"/>
  <c r="K345"/>
  <c r="I345"/>
  <c r="G345"/>
  <c r="E345"/>
  <c r="C345"/>
  <c r="Q344"/>
  <c r="O344"/>
  <c r="M344"/>
  <c r="K344"/>
  <c r="I344"/>
  <c r="G344"/>
  <c r="E344"/>
  <c r="C344"/>
  <c r="Q343"/>
  <c r="O343"/>
  <c r="M343"/>
  <c r="K343"/>
  <c r="I343"/>
  <c r="G343"/>
  <c r="E343"/>
  <c r="C343"/>
  <c r="Q342"/>
  <c r="O342"/>
  <c r="M342"/>
  <c r="K342"/>
  <c r="I342"/>
  <c r="G342"/>
  <c r="E342"/>
  <c r="C342"/>
  <c r="Q341"/>
  <c r="O341"/>
  <c r="M341"/>
  <c r="K341"/>
  <c r="I341"/>
  <c r="G341"/>
  <c r="E341"/>
  <c r="C341"/>
  <c r="Q340"/>
  <c r="O340"/>
  <c r="M340"/>
  <c r="K340"/>
  <c r="I340"/>
  <c r="G340"/>
  <c r="E340"/>
  <c r="C340"/>
  <c r="Q339"/>
  <c r="O339"/>
  <c r="M339"/>
  <c r="K339"/>
  <c r="I339"/>
  <c r="G339"/>
  <c r="E339"/>
  <c r="C339"/>
  <c r="Q338"/>
  <c r="O338"/>
  <c r="M338"/>
  <c r="K338"/>
  <c r="I338"/>
  <c r="G338"/>
  <c r="E338"/>
  <c r="C338"/>
  <c r="Q337"/>
  <c r="O337"/>
  <c r="M337"/>
  <c r="K337"/>
  <c r="I337"/>
  <c r="G337"/>
  <c r="E337"/>
  <c r="C337"/>
  <c r="Q336"/>
  <c r="O336"/>
  <c r="M336"/>
  <c r="K336"/>
  <c r="I336"/>
  <c r="G336"/>
  <c r="E336"/>
  <c r="C336"/>
  <c r="Q335"/>
  <c r="O335"/>
  <c r="M335"/>
  <c r="K335"/>
  <c r="I335"/>
  <c r="G335"/>
  <c r="E335"/>
  <c r="C335"/>
  <c r="Q334"/>
  <c r="O334"/>
  <c r="M334"/>
  <c r="K334"/>
  <c r="I334"/>
  <c r="G334"/>
  <c r="E334"/>
  <c r="C334"/>
  <c r="Q333"/>
  <c r="O333"/>
  <c r="M333"/>
  <c r="K333"/>
  <c r="I333"/>
  <c r="G333"/>
  <c r="E333"/>
  <c r="C333"/>
  <c r="Q332"/>
  <c r="O332"/>
  <c r="M332"/>
  <c r="K332"/>
  <c r="I332"/>
  <c r="G332"/>
  <c r="E332"/>
  <c r="C332"/>
  <c r="Q331"/>
  <c r="O331"/>
  <c r="M331"/>
  <c r="K331"/>
  <c r="I331"/>
  <c r="G331"/>
  <c r="E331"/>
  <c r="C331"/>
  <c r="Q330"/>
  <c r="O330"/>
  <c r="M330"/>
  <c r="K330"/>
  <c r="I330"/>
  <c r="G330"/>
  <c r="E330"/>
  <c r="C330"/>
  <c r="Q329"/>
  <c r="O329"/>
  <c r="M329"/>
  <c r="K329"/>
  <c r="I329"/>
  <c r="G329"/>
  <c r="E329"/>
  <c r="C329"/>
  <c r="Q328"/>
  <c r="O328"/>
  <c r="M328"/>
  <c r="K328"/>
  <c r="I328"/>
  <c r="G328"/>
  <c r="E328"/>
  <c r="C328"/>
  <c r="Q327"/>
  <c r="O327"/>
  <c r="M327"/>
  <c r="K327"/>
  <c r="I327"/>
  <c r="G327"/>
  <c r="E327"/>
  <c r="C327"/>
  <c r="Q326"/>
  <c r="O326"/>
  <c r="M326"/>
  <c r="K326"/>
  <c r="I326"/>
  <c r="G326"/>
  <c r="E326"/>
  <c r="C326"/>
  <c r="Q325"/>
  <c r="O325"/>
  <c r="M325"/>
  <c r="K325"/>
  <c r="I325"/>
  <c r="G325"/>
  <c r="E325"/>
  <c r="C325"/>
  <c r="Q324"/>
  <c r="O324"/>
  <c r="M324"/>
  <c r="K324"/>
  <c r="I324"/>
  <c r="G324"/>
  <c r="E324"/>
  <c r="C324"/>
  <c r="Q323"/>
  <c r="O323"/>
  <c r="M323"/>
  <c r="K323"/>
  <c r="I323"/>
  <c r="G323"/>
  <c r="E323"/>
  <c r="C323"/>
  <c r="Q322"/>
  <c r="O322"/>
  <c r="M322"/>
  <c r="K322"/>
  <c r="I322"/>
  <c r="G322"/>
  <c r="E322"/>
  <c r="C322"/>
  <c r="Q321"/>
  <c r="O321"/>
  <c r="M321"/>
  <c r="K321"/>
  <c r="I321"/>
  <c r="G321"/>
  <c r="E321"/>
  <c r="C321"/>
  <c r="Q320"/>
  <c r="O320"/>
  <c r="M320"/>
  <c r="K320"/>
  <c r="I320"/>
  <c r="G320"/>
  <c r="E320"/>
  <c r="C320"/>
  <c r="Q319"/>
  <c r="O319"/>
  <c r="M319"/>
  <c r="K319"/>
  <c r="I319"/>
  <c r="G319"/>
  <c r="E319"/>
  <c r="C319"/>
  <c r="Q318"/>
  <c r="O318"/>
  <c r="M318"/>
  <c r="K318"/>
  <c r="I318"/>
  <c r="G318"/>
  <c r="E318"/>
  <c r="C318"/>
  <c r="Q317"/>
  <c r="O317"/>
  <c r="M317"/>
  <c r="K317"/>
  <c r="I317"/>
  <c r="G317"/>
  <c r="E317"/>
  <c r="C317"/>
  <c r="Q316"/>
  <c r="O316"/>
  <c r="M316"/>
  <c r="K316"/>
  <c r="I316"/>
  <c r="G316"/>
  <c r="E316"/>
  <c r="C316"/>
  <c r="Q315"/>
  <c r="O315"/>
  <c r="M315"/>
  <c r="K315"/>
  <c r="I315"/>
  <c r="G315"/>
  <c r="E315"/>
  <c r="C315"/>
  <c r="Q314"/>
  <c r="O314"/>
  <c r="M314"/>
  <c r="K314"/>
  <c r="I314"/>
  <c r="G314"/>
  <c r="E314"/>
  <c r="C314"/>
  <c r="Q313"/>
  <c r="O313"/>
  <c r="M313"/>
  <c r="K313"/>
  <c r="I313"/>
  <c r="G313"/>
  <c r="E313"/>
  <c r="C313"/>
  <c r="Q312"/>
  <c r="O312"/>
  <c r="M312"/>
  <c r="K312"/>
  <c r="I312"/>
  <c r="G312"/>
  <c r="E312"/>
  <c r="C312"/>
  <c r="Q311"/>
  <c r="O311"/>
  <c r="M311"/>
  <c r="K311"/>
  <c r="I311"/>
  <c r="G311"/>
  <c r="E311"/>
  <c r="C311"/>
  <c r="Q310"/>
  <c r="O310"/>
  <c r="M310"/>
  <c r="K310"/>
  <c r="I310"/>
  <c r="G310"/>
  <c r="E310"/>
  <c r="C310"/>
  <c r="Q309"/>
  <c r="O309"/>
  <c r="M309"/>
  <c r="K309"/>
  <c r="I309"/>
  <c r="G309"/>
  <c r="E309"/>
  <c r="C309"/>
  <c r="Q308"/>
  <c r="O308"/>
  <c r="M308"/>
  <c r="K308"/>
  <c r="I308"/>
  <c r="G308"/>
  <c r="E308"/>
  <c r="C308"/>
  <c r="Q307"/>
  <c r="O307"/>
  <c r="M307"/>
  <c r="K307"/>
  <c r="I307"/>
  <c r="G307"/>
  <c r="E307"/>
  <c r="C307"/>
  <c r="Q306"/>
  <c r="O306"/>
  <c r="M306"/>
  <c r="K306"/>
  <c r="I306"/>
  <c r="G306"/>
  <c r="E306"/>
  <c r="C306"/>
  <c r="Q305"/>
  <c r="O305"/>
  <c r="M305"/>
  <c r="K305"/>
  <c r="I305"/>
  <c r="G305"/>
  <c r="E305"/>
  <c r="C305"/>
  <c r="Q304"/>
  <c r="O304"/>
  <c r="M304"/>
  <c r="K304"/>
  <c r="I304"/>
  <c r="G304"/>
  <c r="E304"/>
  <c r="C304"/>
  <c r="Q303"/>
  <c r="O303"/>
  <c r="M303"/>
  <c r="K303"/>
  <c r="I303"/>
  <c r="G303"/>
  <c r="E303"/>
  <c r="C303"/>
  <c r="Q302"/>
  <c r="O302"/>
  <c r="M302"/>
  <c r="K302"/>
  <c r="I302"/>
  <c r="G302"/>
  <c r="E302"/>
  <c r="C302"/>
  <c r="Q301"/>
  <c r="O301"/>
  <c r="M301"/>
  <c r="K301"/>
  <c r="I301"/>
  <c r="G301"/>
  <c r="E301"/>
  <c r="C301"/>
  <c r="Q300"/>
  <c r="O300"/>
  <c r="M300"/>
  <c r="K300"/>
  <c r="I300"/>
  <c r="G300"/>
  <c r="E300"/>
  <c r="C300"/>
  <c r="Q299"/>
  <c r="O299"/>
  <c r="M299"/>
  <c r="K299"/>
  <c r="I299"/>
  <c r="G299"/>
  <c r="E299"/>
  <c r="C299"/>
  <c r="Q298"/>
  <c r="O298"/>
  <c r="M298"/>
  <c r="K298"/>
  <c r="I298"/>
  <c r="G298"/>
  <c r="E298"/>
  <c r="C298"/>
  <c r="Q297"/>
  <c r="O297"/>
  <c r="M297"/>
  <c r="K297"/>
  <c r="I297"/>
  <c r="G297"/>
  <c r="E297"/>
  <c r="C297"/>
  <c r="Q296"/>
  <c r="O296"/>
  <c r="M296"/>
  <c r="K296"/>
  <c r="I296"/>
  <c r="G296"/>
  <c r="E296"/>
  <c r="C296"/>
  <c r="Q295"/>
  <c r="O295"/>
  <c r="M295"/>
  <c r="K295"/>
  <c r="I295"/>
  <c r="G295"/>
  <c r="E295"/>
  <c r="C295"/>
  <c r="Q294"/>
  <c r="O294"/>
  <c r="M294"/>
  <c r="K294"/>
  <c r="I294"/>
  <c r="G294"/>
  <c r="E294"/>
  <c r="C294"/>
  <c r="Q293"/>
  <c r="O293"/>
  <c r="M293"/>
  <c r="K293"/>
  <c r="I293"/>
  <c r="G293"/>
  <c r="E293"/>
  <c r="C293"/>
  <c r="Q292"/>
  <c r="O292"/>
  <c r="M292"/>
  <c r="K292"/>
  <c r="I292"/>
  <c r="G292"/>
  <c r="E292"/>
  <c r="C292"/>
  <c r="Q291"/>
  <c r="O291"/>
  <c r="M291"/>
  <c r="K291"/>
  <c r="I291"/>
  <c r="G291"/>
  <c r="E291"/>
  <c r="C291"/>
  <c r="Q290"/>
  <c r="O290"/>
  <c r="M290"/>
  <c r="K290"/>
  <c r="I290"/>
  <c r="G290"/>
  <c r="E290"/>
  <c r="C290"/>
  <c r="Q289"/>
  <c r="O289"/>
  <c r="M289"/>
  <c r="K289"/>
  <c r="I289"/>
  <c r="G289"/>
  <c r="E289"/>
  <c r="C289"/>
  <c r="Q288"/>
  <c r="O288"/>
  <c r="M288"/>
  <c r="K288"/>
  <c r="I288"/>
  <c r="G288"/>
  <c r="E288"/>
  <c r="C288"/>
  <c r="Q287"/>
  <c r="O287"/>
  <c r="M287"/>
  <c r="K287"/>
  <c r="I287"/>
  <c r="G287"/>
  <c r="E287"/>
  <c r="C287"/>
  <c r="Q286"/>
  <c r="O286"/>
  <c r="M286"/>
  <c r="K286"/>
  <c r="I286"/>
  <c r="G286"/>
  <c r="E286"/>
  <c r="C286"/>
  <c r="Q285"/>
  <c r="O285"/>
  <c r="M285"/>
  <c r="K285"/>
  <c r="I285"/>
  <c r="G285"/>
  <c r="E285"/>
  <c r="C285"/>
  <c r="Q284"/>
  <c r="O284"/>
  <c r="M284"/>
  <c r="K284"/>
  <c r="I284"/>
  <c r="G284"/>
  <c r="E284"/>
  <c r="C284"/>
  <c r="Q283"/>
  <c r="O283"/>
  <c r="M283"/>
  <c r="K283"/>
  <c r="I283"/>
  <c r="G283"/>
  <c r="E283"/>
  <c r="C283"/>
  <c r="Q282"/>
  <c r="O282"/>
  <c r="M282"/>
  <c r="K282"/>
  <c r="I282"/>
  <c r="G282"/>
  <c r="E282"/>
  <c r="C282"/>
  <c r="Q281"/>
  <c r="O281"/>
  <c r="M281"/>
  <c r="K281"/>
  <c r="I281"/>
  <c r="G281"/>
  <c r="E281"/>
  <c r="C281"/>
  <c r="Q280"/>
  <c r="O280"/>
  <c r="M280"/>
  <c r="K280"/>
  <c r="I280"/>
  <c r="G280"/>
  <c r="E280"/>
  <c r="C280"/>
  <c r="Q279"/>
  <c r="O279"/>
  <c r="M279"/>
  <c r="K279"/>
  <c r="I279"/>
  <c r="G279"/>
  <c r="E279"/>
  <c r="C279"/>
  <c r="Q278"/>
  <c r="O278"/>
  <c r="M278"/>
  <c r="K278"/>
  <c r="I278"/>
  <c r="G278"/>
  <c r="E278"/>
  <c r="C278"/>
  <c r="Q277"/>
  <c r="O277"/>
  <c r="M277"/>
  <c r="K277"/>
  <c r="I277"/>
  <c r="G277"/>
  <c r="E277"/>
  <c r="C277"/>
  <c r="Q276"/>
  <c r="O276"/>
  <c r="M276"/>
  <c r="K276"/>
  <c r="I276"/>
  <c r="G276"/>
  <c r="E276"/>
  <c r="C276"/>
  <c r="Q275"/>
  <c r="O275"/>
  <c r="M275"/>
  <c r="K275"/>
  <c r="I275"/>
  <c r="G275"/>
  <c r="E275"/>
  <c r="C275"/>
  <c r="Q274"/>
  <c r="O274"/>
  <c r="M274"/>
  <c r="K274"/>
  <c r="I274"/>
  <c r="G274"/>
  <c r="E274"/>
  <c r="C274"/>
  <c r="Q273"/>
  <c r="O273"/>
  <c r="M273"/>
  <c r="K273"/>
  <c r="I273"/>
  <c r="G273"/>
  <c r="E273"/>
  <c r="C273"/>
  <c r="Q272"/>
  <c r="O272"/>
  <c r="M272"/>
  <c r="K272"/>
  <c r="I272"/>
  <c r="G272"/>
  <c r="E272"/>
  <c r="C272"/>
  <c r="Q271"/>
  <c r="O271"/>
  <c r="M271"/>
  <c r="K271"/>
  <c r="I271"/>
  <c r="G271"/>
  <c r="E271"/>
  <c r="C271"/>
  <c r="Q270"/>
  <c r="O270"/>
  <c r="M270"/>
  <c r="K270"/>
  <c r="I270"/>
  <c r="G270"/>
  <c r="E270"/>
  <c r="C270"/>
  <c r="Q269"/>
  <c r="O269"/>
  <c r="M269"/>
  <c r="K269"/>
  <c r="I269"/>
  <c r="G269"/>
  <c r="E269"/>
  <c r="C269"/>
  <c r="Q268"/>
  <c r="O268"/>
  <c r="M268"/>
  <c r="K268"/>
  <c r="I268"/>
  <c r="G268"/>
  <c r="E268"/>
  <c r="C268"/>
  <c r="Q267"/>
  <c r="O267"/>
  <c r="M267"/>
  <c r="K267"/>
  <c r="I267"/>
  <c r="G267"/>
  <c r="E267"/>
  <c r="C267"/>
  <c r="Q266"/>
  <c r="O266"/>
  <c r="M266"/>
  <c r="K266"/>
  <c r="I266"/>
  <c r="G266"/>
  <c r="E266"/>
  <c r="C266"/>
  <c r="Q265"/>
  <c r="O265"/>
  <c r="M265"/>
  <c r="K265"/>
  <c r="I265"/>
  <c r="G265"/>
  <c r="E265"/>
  <c r="C265"/>
  <c r="Q264"/>
  <c r="O264"/>
  <c r="M264"/>
  <c r="K264"/>
  <c r="I264"/>
  <c r="G264"/>
  <c r="E264"/>
  <c r="C264"/>
  <c r="Q263"/>
  <c r="O263"/>
  <c r="M263"/>
  <c r="K263"/>
  <c r="I263"/>
  <c r="G263"/>
  <c r="E263"/>
  <c r="C263"/>
  <c r="Q262"/>
  <c r="O262"/>
  <c r="M262"/>
  <c r="K262"/>
  <c r="I262"/>
  <c r="G262"/>
  <c r="E262"/>
  <c r="C262"/>
  <c r="Q261"/>
  <c r="O261"/>
  <c r="M261"/>
  <c r="K261"/>
  <c r="I261"/>
  <c r="G261"/>
  <c r="E261"/>
  <c r="C261"/>
  <c r="Q260"/>
  <c r="O260"/>
  <c r="M260"/>
  <c r="K260"/>
  <c r="I260"/>
  <c r="G260"/>
  <c r="E260"/>
  <c r="C260"/>
  <c r="Q259"/>
  <c r="O259"/>
  <c r="M259"/>
  <c r="K259"/>
  <c r="I259"/>
  <c r="G259"/>
  <c r="E259"/>
  <c r="C259"/>
  <c r="Q258"/>
  <c r="O258"/>
  <c r="M258"/>
  <c r="K258"/>
  <c r="I258"/>
  <c r="G258"/>
  <c r="E258"/>
  <c r="C258"/>
  <c r="Q257"/>
  <c r="O257"/>
  <c r="M257"/>
  <c r="K257"/>
  <c r="I257"/>
  <c r="G257"/>
  <c r="E257"/>
  <c r="C257"/>
  <c r="Q256"/>
  <c r="O256"/>
  <c r="M256"/>
  <c r="K256"/>
  <c r="I256"/>
  <c r="G256"/>
  <c r="E256"/>
  <c r="C256"/>
  <c r="Q255"/>
  <c r="O255"/>
  <c r="M255"/>
  <c r="K255"/>
  <c r="I255"/>
  <c r="G255"/>
  <c r="E255"/>
  <c r="C255"/>
  <c r="Q254"/>
  <c r="O254"/>
  <c r="M254"/>
  <c r="K254"/>
  <c r="I254"/>
  <c r="G254"/>
  <c r="E254"/>
  <c r="C254"/>
  <c r="Q253"/>
  <c r="O253"/>
  <c r="M253"/>
  <c r="K253"/>
  <c r="I253"/>
  <c r="G253"/>
  <c r="E253"/>
  <c r="C253"/>
  <c r="Q252"/>
  <c r="O252"/>
  <c r="M252"/>
  <c r="K252"/>
  <c r="I252"/>
  <c r="G252"/>
  <c r="E252"/>
  <c r="C252"/>
  <c r="Q251"/>
  <c r="O251"/>
  <c r="M251"/>
  <c r="K251"/>
  <c r="I251"/>
  <c r="G251"/>
  <c r="E251"/>
  <c r="C251"/>
  <c r="Q250"/>
  <c r="O250"/>
  <c r="M250"/>
  <c r="K250"/>
  <c r="I250"/>
  <c r="G250"/>
  <c r="E250"/>
  <c r="C250"/>
  <c r="Q249"/>
  <c r="O249"/>
  <c r="M249"/>
  <c r="K249"/>
  <c r="I249"/>
  <c r="G249"/>
  <c r="E249"/>
  <c r="C249"/>
  <c r="Q248"/>
  <c r="O248"/>
  <c r="M248"/>
  <c r="K248"/>
  <c r="I248"/>
  <c r="G248"/>
  <c r="E248"/>
  <c r="C248"/>
  <c r="Q247"/>
  <c r="O247"/>
  <c r="M247"/>
  <c r="K247"/>
  <c r="I247"/>
  <c r="G247"/>
  <c r="E247"/>
  <c r="C247"/>
  <c r="Q246"/>
  <c r="O246"/>
  <c r="M246"/>
  <c r="K246"/>
  <c r="I246"/>
  <c r="G246"/>
  <c r="E246"/>
  <c r="C246"/>
  <c r="Q245"/>
  <c r="O245"/>
  <c r="M245"/>
  <c r="K245"/>
  <c r="I245"/>
  <c r="G245"/>
  <c r="E245"/>
  <c r="C245"/>
  <c r="Q244"/>
  <c r="O244"/>
  <c r="M244"/>
  <c r="K244"/>
  <c r="I244"/>
  <c r="G244"/>
  <c r="E244"/>
  <c r="C244"/>
  <c r="Q243"/>
  <c r="O243"/>
  <c r="M243"/>
  <c r="K243"/>
  <c r="I243"/>
  <c r="G243"/>
  <c r="E243"/>
  <c r="C243"/>
  <c r="Q242"/>
  <c r="O242"/>
  <c r="M242"/>
  <c r="K242"/>
  <c r="I242"/>
  <c r="G242"/>
  <c r="E242"/>
  <c r="C242"/>
  <c r="Q241"/>
  <c r="O241"/>
  <c r="M241"/>
  <c r="K241"/>
  <c r="I241"/>
  <c r="G241"/>
  <c r="E241"/>
  <c r="C241"/>
  <c r="Q240"/>
  <c r="O240"/>
  <c r="M240"/>
  <c r="K240"/>
  <c r="I240"/>
  <c r="G240"/>
  <c r="E240"/>
  <c r="C240"/>
  <c r="Q239"/>
  <c r="O239"/>
  <c r="M239"/>
  <c r="K239"/>
  <c r="I239"/>
  <c r="G239"/>
  <c r="E239"/>
  <c r="C239"/>
  <c r="Q238"/>
  <c r="O238"/>
  <c r="M238"/>
  <c r="K238"/>
  <c r="I238"/>
  <c r="G238"/>
  <c r="E238"/>
  <c r="C238"/>
  <c r="Q237"/>
  <c r="O237"/>
  <c r="M237"/>
  <c r="K237"/>
  <c r="I237"/>
  <c r="G237"/>
  <c r="E237"/>
  <c r="C237"/>
  <c r="Q236"/>
  <c r="O236"/>
  <c r="M236"/>
  <c r="K236"/>
  <c r="I236"/>
  <c r="G236"/>
  <c r="E236"/>
  <c r="C236"/>
  <c r="Q235"/>
  <c r="O235"/>
  <c r="M235"/>
  <c r="K235"/>
  <c r="I235"/>
  <c r="G235"/>
  <c r="E235"/>
  <c r="C235"/>
  <c r="Q234"/>
  <c r="O234"/>
  <c r="M234"/>
  <c r="K234"/>
  <c r="I234"/>
  <c r="G234"/>
  <c r="E234"/>
  <c r="C234"/>
  <c r="Q233"/>
  <c r="O233"/>
  <c r="M233"/>
  <c r="K233"/>
  <c r="I233"/>
  <c r="G233"/>
  <c r="E233"/>
  <c r="C233"/>
  <c r="Q232"/>
  <c r="O232"/>
  <c r="M232"/>
  <c r="K232"/>
  <c r="I232"/>
  <c r="G232"/>
  <c r="E232"/>
  <c r="C232"/>
  <c r="Q231"/>
  <c r="O231"/>
  <c r="M231"/>
  <c r="K231"/>
  <c r="I231"/>
  <c r="G231"/>
  <c r="E231"/>
  <c r="C231"/>
  <c r="Q230"/>
  <c r="O230"/>
  <c r="M230"/>
  <c r="K230"/>
  <c r="I230"/>
  <c r="G230"/>
  <c r="E230"/>
  <c r="C230"/>
  <c r="Q229"/>
  <c r="O229"/>
  <c r="M229"/>
  <c r="K229"/>
  <c r="I229"/>
  <c r="G229"/>
  <c r="E229"/>
  <c r="C229"/>
  <c r="Q228"/>
  <c r="O228"/>
  <c r="M228"/>
  <c r="K228"/>
  <c r="I228"/>
  <c r="G228"/>
  <c r="E228"/>
  <c r="C228"/>
  <c r="Q227"/>
  <c r="O227"/>
  <c r="M227"/>
  <c r="K227"/>
  <c r="I227"/>
  <c r="G227"/>
  <c r="E227"/>
  <c r="C227"/>
  <c r="Q226"/>
  <c r="O226"/>
  <c r="M226"/>
  <c r="K226"/>
  <c r="I226"/>
  <c r="G226"/>
  <c r="E226"/>
  <c r="C226"/>
  <c r="Q225"/>
  <c r="O225"/>
  <c r="M225"/>
  <c r="K225"/>
  <c r="I225"/>
  <c r="G225"/>
  <c r="E225"/>
  <c r="C225"/>
  <c r="Q224"/>
  <c r="O224"/>
  <c r="M224"/>
  <c r="K224"/>
  <c r="I224"/>
  <c r="G224"/>
  <c r="E224"/>
  <c r="C224"/>
  <c r="Q223"/>
  <c r="O223"/>
  <c r="M223"/>
  <c r="K223"/>
  <c r="I223"/>
  <c r="G223"/>
  <c r="E223"/>
  <c r="C223"/>
  <c r="Q222"/>
  <c r="O222"/>
  <c r="M222"/>
  <c r="K222"/>
  <c r="I222"/>
  <c r="G222"/>
  <c r="E222"/>
  <c r="C222"/>
  <c r="Q221"/>
  <c r="O221"/>
  <c r="M221"/>
  <c r="K221"/>
  <c r="I221"/>
  <c r="G221"/>
  <c r="E221"/>
  <c r="C221"/>
  <c r="Q220"/>
  <c r="O220"/>
  <c r="M220"/>
  <c r="K220"/>
  <c r="I220"/>
  <c r="G220"/>
  <c r="E220"/>
  <c r="C220"/>
  <c r="Q219"/>
  <c r="O219"/>
  <c r="M219"/>
  <c r="K219"/>
  <c r="I219"/>
  <c r="G219"/>
  <c r="E219"/>
  <c r="C219"/>
  <c r="Q218"/>
  <c r="O218"/>
  <c r="M218"/>
  <c r="K218"/>
  <c r="I218"/>
  <c r="G218"/>
  <c r="E218"/>
  <c r="C218"/>
  <c r="Q217"/>
  <c r="O217"/>
  <c r="M217"/>
  <c r="K217"/>
  <c r="I217"/>
  <c r="G217"/>
  <c r="E217"/>
  <c r="C217"/>
  <c r="Q216"/>
  <c r="O216"/>
  <c r="M216"/>
  <c r="K216"/>
  <c r="I216"/>
  <c r="G216"/>
  <c r="E216"/>
  <c r="C216"/>
  <c r="Q215"/>
  <c r="O215"/>
  <c r="M215"/>
  <c r="K215"/>
  <c r="I215"/>
  <c r="G215"/>
  <c r="E215"/>
  <c r="C215"/>
  <c r="Q214"/>
  <c r="O214"/>
  <c r="M214"/>
  <c r="K214"/>
  <c r="I214"/>
  <c r="G214"/>
  <c r="E214"/>
  <c r="C214"/>
  <c r="Q213"/>
  <c r="O213"/>
  <c r="M213"/>
  <c r="K213"/>
  <c r="I213"/>
  <c r="G213"/>
  <c r="E213"/>
  <c r="C213"/>
  <c r="Q212"/>
  <c r="O212"/>
  <c r="M212"/>
  <c r="K212"/>
  <c r="I212"/>
  <c r="G212"/>
  <c r="E212"/>
  <c r="C212"/>
  <c r="Q211"/>
  <c r="O211"/>
  <c r="M211"/>
  <c r="K211"/>
  <c r="I211"/>
  <c r="G211"/>
  <c r="E211"/>
  <c r="C211"/>
  <c r="Q210"/>
  <c r="O210"/>
  <c r="M210"/>
  <c r="K210"/>
  <c r="I210"/>
  <c r="G210"/>
  <c r="E210"/>
  <c r="C210"/>
  <c r="Q209"/>
  <c r="O209"/>
  <c r="M209"/>
  <c r="K209"/>
  <c r="I209"/>
  <c r="G209"/>
  <c r="E209"/>
  <c r="C209"/>
  <c r="Q208"/>
  <c r="O208"/>
  <c r="M208"/>
  <c r="K208"/>
  <c r="I208"/>
  <c r="G208"/>
  <c r="E208"/>
  <c r="C208"/>
  <c r="Q207"/>
  <c r="O207"/>
  <c r="M207"/>
  <c r="K207"/>
  <c r="I207"/>
  <c r="G207"/>
  <c r="E207"/>
  <c r="C207"/>
  <c r="Q206"/>
  <c r="O206"/>
  <c r="M206"/>
  <c r="K206"/>
  <c r="I206"/>
  <c r="G206"/>
  <c r="E206"/>
  <c r="C206"/>
  <c r="Q205"/>
  <c r="O205"/>
  <c r="M205"/>
  <c r="K205"/>
  <c r="I205"/>
  <c r="G205"/>
  <c r="E205"/>
  <c r="C205"/>
  <c r="Q204"/>
  <c r="O204"/>
  <c r="M204"/>
  <c r="K204"/>
  <c r="I204"/>
  <c r="G204"/>
  <c r="E204"/>
  <c r="C204"/>
  <c r="Q203"/>
  <c r="O203"/>
  <c r="M203"/>
  <c r="K203"/>
  <c r="I203"/>
  <c r="G203"/>
  <c r="E203"/>
  <c r="C203"/>
  <c r="Q202"/>
  <c r="O202"/>
  <c r="M202"/>
  <c r="K202"/>
  <c r="I202"/>
  <c r="G202"/>
  <c r="E202"/>
  <c r="C202"/>
  <c r="Q201"/>
  <c r="O201"/>
  <c r="M201"/>
  <c r="K201"/>
  <c r="I201"/>
  <c r="G201"/>
  <c r="E201"/>
  <c r="C201"/>
  <c r="Q200"/>
  <c r="O200"/>
  <c r="M200"/>
  <c r="K200"/>
  <c r="I200"/>
  <c r="G200"/>
  <c r="E200"/>
  <c r="C200"/>
  <c r="Q199"/>
  <c r="O199"/>
  <c r="M199"/>
  <c r="K199"/>
  <c r="I199"/>
  <c r="G199"/>
  <c r="E199"/>
  <c r="C199"/>
  <c r="Q198"/>
  <c r="O198"/>
  <c r="M198"/>
  <c r="K198"/>
  <c r="I198"/>
  <c r="G198"/>
  <c r="E198"/>
  <c r="C198"/>
  <c r="Q197"/>
  <c r="O197"/>
  <c r="M197"/>
  <c r="K197"/>
  <c r="I197"/>
  <c r="G197"/>
  <c r="E197"/>
  <c r="C197"/>
  <c r="Q196"/>
  <c r="O196"/>
  <c r="M196"/>
  <c r="K196"/>
  <c r="I196"/>
  <c r="G196"/>
  <c r="E196"/>
  <c r="C196"/>
  <c r="Q195"/>
  <c r="O195"/>
  <c r="M195"/>
  <c r="K195"/>
  <c r="I195"/>
  <c r="G195"/>
  <c r="E195"/>
  <c r="C195"/>
  <c r="Q194"/>
  <c r="O194"/>
  <c r="M194"/>
  <c r="K194"/>
  <c r="I194"/>
  <c r="G194"/>
  <c r="E194"/>
  <c r="C194"/>
  <c r="Q193"/>
  <c r="O193"/>
  <c r="M193"/>
  <c r="K193"/>
  <c r="I193"/>
  <c r="G193"/>
  <c r="E193"/>
  <c r="C193"/>
  <c r="Q192"/>
  <c r="O192"/>
  <c r="M192"/>
  <c r="K192"/>
  <c r="I192"/>
  <c r="G192"/>
  <c r="E192"/>
  <c r="C192"/>
  <c r="Q191"/>
  <c r="O191"/>
  <c r="M191"/>
  <c r="K191"/>
  <c r="I191"/>
  <c r="G191"/>
  <c r="E191"/>
  <c r="C191"/>
  <c r="Q190"/>
  <c r="O190"/>
  <c r="M190"/>
  <c r="K190"/>
  <c r="I190"/>
  <c r="G190"/>
  <c r="E190"/>
  <c r="C190"/>
  <c r="Q189"/>
  <c r="O189"/>
  <c r="M189"/>
  <c r="K189"/>
  <c r="I189"/>
  <c r="G189"/>
  <c r="E189"/>
  <c r="C189"/>
  <c r="Q188"/>
  <c r="O188"/>
  <c r="M188"/>
  <c r="K188"/>
  <c r="I188"/>
  <c r="G188"/>
  <c r="E188"/>
  <c r="C188"/>
  <c r="Q187"/>
  <c r="O187"/>
  <c r="M187"/>
  <c r="K187"/>
  <c r="I187"/>
  <c r="G187"/>
  <c r="E187"/>
  <c r="C187"/>
  <c r="Q186"/>
  <c r="O186"/>
  <c r="M186"/>
  <c r="K186"/>
  <c r="I186"/>
  <c r="G186"/>
  <c r="E186"/>
  <c r="C186"/>
  <c r="Q185"/>
  <c r="O185"/>
  <c r="M185"/>
  <c r="K185"/>
  <c r="I185"/>
  <c r="G185"/>
  <c r="E185"/>
  <c r="C185"/>
  <c r="Q184"/>
  <c r="O184"/>
  <c r="M184"/>
  <c r="K184"/>
  <c r="I184"/>
  <c r="G184"/>
  <c r="E184"/>
  <c r="C184"/>
  <c r="Q183"/>
  <c r="O183"/>
  <c r="M183"/>
  <c r="K183"/>
  <c r="I183"/>
  <c r="G183"/>
  <c r="E183"/>
  <c r="C183"/>
  <c r="Q182"/>
  <c r="O182"/>
  <c r="M182"/>
  <c r="K182"/>
  <c r="I182"/>
  <c r="G182"/>
  <c r="E182"/>
  <c r="C182"/>
  <c r="Q181"/>
  <c r="O181"/>
  <c r="M181"/>
  <c r="K181"/>
  <c r="I181"/>
  <c r="G181"/>
  <c r="E181"/>
  <c r="C181"/>
  <c r="Q180"/>
  <c r="O180"/>
  <c r="M180"/>
  <c r="K180"/>
  <c r="I180"/>
  <c r="G180"/>
  <c r="E180"/>
  <c r="C180"/>
  <c r="Q179"/>
  <c r="O179"/>
  <c r="M179"/>
  <c r="K179"/>
  <c r="I179"/>
  <c r="G179"/>
  <c r="E179"/>
  <c r="C179"/>
  <c r="Q178"/>
  <c r="O178"/>
  <c r="M178"/>
  <c r="K178"/>
  <c r="I178"/>
  <c r="G178"/>
  <c r="E178"/>
  <c r="C178"/>
  <c r="Q177"/>
  <c r="O177"/>
  <c r="M177"/>
  <c r="K177"/>
  <c r="I177"/>
  <c r="G177"/>
  <c r="E177"/>
  <c r="C177"/>
  <c r="Q176"/>
  <c r="O176"/>
  <c r="M176"/>
  <c r="K176"/>
  <c r="I176"/>
  <c r="G176"/>
  <c r="E176"/>
  <c r="C176"/>
  <c r="Q175"/>
  <c r="O175"/>
  <c r="M175"/>
  <c r="K175"/>
  <c r="I175"/>
  <c r="G175"/>
  <c r="E175"/>
  <c r="C175"/>
  <c r="Q174"/>
  <c r="O174"/>
  <c r="M174"/>
  <c r="K174"/>
  <c r="I174"/>
  <c r="G174"/>
  <c r="E174"/>
  <c r="C174"/>
  <c r="Q173"/>
  <c r="O173"/>
  <c r="M173"/>
  <c r="K173"/>
  <c r="I173"/>
  <c r="G173"/>
  <c r="E173"/>
  <c r="C173"/>
  <c r="Q172"/>
  <c r="O172"/>
  <c r="M172"/>
  <c r="K172"/>
  <c r="I172"/>
  <c r="G172"/>
  <c r="E172"/>
  <c r="C172"/>
  <c r="Q171"/>
  <c r="O171"/>
  <c r="M171"/>
  <c r="K171"/>
  <c r="I171"/>
  <c r="G171"/>
  <c r="E171"/>
  <c r="C171"/>
  <c r="Q170"/>
  <c r="O170"/>
  <c r="M170"/>
  <c r="K170"/>
  <c r="I170"/>
  <c r="G170"/>
  <c r="E170"/>
  <c r="C170"/>
  <c r="Q169"/>
  <c r="O169"/>
  <c r="M169"/>
  <c r="K169"/>
  <c r="I169"/>
  <c r="G169"/>
  <c r="E169"/>
  <c r="C169"/>
  <c r="Q168"/>
  <c r="O168"/>
  <c r="M168"/>
  <c r="K168"/>
  <c r="I168"/>
  <c r="G168"/>
  <c r="E168"/>
  <c r="C168"/>
  <c r="Q167"/>
  <c r="O167"/>
  <c r="M167"/>
  <c r="K167"/>
  <c r="I167"/>
  <c r="G167"/>
  <c r="E167"/>
  <c r="C167"/>
  <c r="Q166"/>
  <c r="O166"/>
  <c r="M166"/>
  <c r="K166"/>
  <c r="I166"/>
  <c r="G166"/>
  <c r="E166"/>
  <c r="C166"/>
  <c r="Q165"/>
  <c r="O165"/>
  <c r="M165"/>
  <c r="K165"/>
  <c r="I165"/>
  <c r="G165"/>
  <c r="E165"/>
  <c r="C165"/>
  <c r="Q164"/>
  <c r="O164"/>
  <c r="M164"/>
  <c r="K164"/>
  <c r="I164"/>
  <c r="G164"/>
  <c r="E164"/>
  <c r="C164"/>
  <c r="Q163"/>
  <c r="O163"/>
  <c r="M163"/>
  <c r="K163"/>
  <c r="I163"/>
  <c r="G163"/>
  <c r="E163"/>
  <c r="C163"/>
  <c r="Q162"/>
  <c r="O162"/>
  <c r="M162"/>
  <c r="K162"/>
  <c r="I162"/>
  <c r="G162"/>
  <c r="E162"/>
  <c r="C162"/>
  <c r="Q161"/>
  <c r="O161"/>
  <c r="M161"/>
  <c r="K161"/>
  <c r="I161"/>
  <c r="G161"/>
  <c r="E161"/>
  <c r="C161"/>
  <c r="Q160"/>
  <c r="O160"/>
  <c r="M160"/>
  <c r="K160"/>
  <c r="I160"/>
  <c r="G160"/>
  <c r="E160"/>
  <c r="C160"/>
  <c r="Q159"/>
  <c r="O159"/>
  <c r="M159"/>
  <c r="K159"/>
  <c r="I159"/>
  <c r="G159"/>
  <c r="E159"/>
  <c r="C159"/>
  <c r="Q158"/>
  <c r="O158"/>
  <c r="M158"/>
  <c r="K158"/>
  <c r="I158"/>
  <c r="G158"/>
  <c r="E158"/>
  <c r="C158"/>
  <c r="Q157"/>
  <c r="O157"/>
  <c r="M157"/>
  <c r="K157"/>
  <c r="I157"/>
  <c r="G157"/>
  <c r="E157"/>
  <c r="C157"/>
  <c r="Q156"/>
  <c r="O156"/>
  <c r="M156"/>
  <c r="K156"/>
  <c r="I156"/>
  <c r="G156"/>
  <c r="E156"/>
  <c r="C156"/>
  <c r="Q155"/>
  <c r="O155"/>
  <c r="M155"/>
  <c r="K155"/>
  <c r="I155"/>
  <c r="G155"/>
  <c r="E155"/>
  <c r="C155"/>
  <c r="Q154"/>
  <c r="O154"/>
  <c r="M154"/>
  <c r="K154"/>
  <c r="I154"/>
  <c r="G154"/>
  <c r="E154"/>
  <c r="C154"/>
  <c r="Q153"/>
  <c r="O153"/>
  <c r="M153"/>
  <c r="K153"/>
  <c r="I153"/>
  <c r="G153"/>
  <c r="E153"/>
  <c r="C153"/>
  <c r="Q152"/>
  <c r="O152"/>
  <c r="M152"/>
  <c r="K152"/>
  <c r="I152"/>
  <c r="G152"/>
  <c r="E152"/>
  <c r="C152"/>
  <c r="Q151"/>
  <c r="O151"/>
  <c r="M151"/>
  <c r="K151"/>
  <c r="I151"/>
  <c r="G151"/>
  <c r="E151"/>
  <c r="C151"/>
  <c r="Q150"/>
  <c r="O150"/>
  <c r="M150"/>
  <c r="K150"/>
  <c r="I150"/>
  <c r="G150"/>
  <c r="E150"/>
  <c r="C150"/>
  <c r="Q149"/>
  <c r="O149"/>
  <c r="M149"/>
  <c r="K149"/>
  <c r="I149"/>
  <c r="G149"/>
  <c r="E149"/>
  <c r="C149"/>
  <c r="Q148"/>
  <c r="O148"/>
  <c r="M148"/>
  <c r="K148"/>
  <c r="I148"/>
  <c r="G148"/>
  <c r="E148"/>
  <c r="C148"/>
  <c r="Q147"/>
  <c r="O147"/>
  <c r="M147"/>
  <c r="K147"/>
  <c r="I147"/>
  <c r="G147"/>
  <c r="E147"/>
  <c r="C147"/>
  <c r="Q146"/>
  <c r="O146"/>
  <c r="M146"/>
  <c r="K146"/>
  <c r="I146"/>
  <c r="G146"/>
  <c r="E146"/>
  <c r="C146"/>
  <c r="Q145"/>
  <c r="O145"/>
  <c r="M145"/>
  <c r="K145"/>
  <c r="I145"/>
  <c r="G145"/>
  <c r="E145"/>
  <c r="C145"/>
  <c r="Q144"/>
  <c r="O144"/>
  <c r="M144"/>
  <c r="K144"/>
  <c r="I144"/>
  <c r="G144"/>
  <c r="E144"/>
  <c r="C144"/>
  <c r="Q143"/>
  <c r="O143"/>
  <c r="M143"/>
  <c r="K143"/>
  <c r="I143"/>
  <c r="G143"/>
  <c r="E143"/>
  <c r="C143"/>
  <c r="Q142"/>
  <c r="O142"/>
  <c r="M142"/>
  <c r="K142"/>
  <c r="I142"/>
  <c r="G142"/>
  <c r="E142"/>
  <c r="C142"/>
  <c r="Q141"/>
  <c r="O141"/>
  <c r="M141"/>
  <c r="K141"/>
  <c r="I141"/>
  <c r="G141"/>
  <c r="E141"/>
  <c r="C141"/>
  <c r="Q140"/>
  <c r="O140"/>
  <c r="M140"/>
  <c r="K140"/>
  <c r="I140"/>
  <c r="G140"/>
  <c r="E140"/>
  <c r="C140"/>
  <c r="Q139"/>
  <c r="O139"/>
  <c r="M139"/>
  <c r="K139"/>
  <c r="I139"/>
  <c r="G139"/>
  <c r="E139"/>
  <c r="C139"/>
  <c r="Q138"/>
  <c r="O138"/>
  <c r="M138"/>
  <c r="K138"/>
  <c r="I138"/>
  <c r="G138"/>
  <c r="E138"/>
  <c r="C138"/>
  <c r="Q137"/>
  <c r="O137"/>
  <c r="M137"/>
  <c r="K137"/>
  <c r="I137"/>
  <c r="G137"/>
  <c r="E137"/>
  <c r="C137"/>
  <c r="Q136"/>
  <c r="O136"/>
  <c r="M136"/>
  <c r="K136"/>
  <c r="I136"/>
  <c r="G136"/>
  <c r="E136"/>
  <c r="C136"/>
  <c r="Q135"/>
  <c r="O135"/>
  <c r="M135"/>
  <c r="K135"/>
  <c r="I135"/>
  <c r="G135"/>
  <c r="E135"/>
  <c r="C135"/>
  <c r="Q134"/>
  <c r="O134"/>
  <c r="M134"/>
  <c r="K134"/>
  <c r="I134"/>
  <c r="G134"/>
  <c r="E134"/>
  <c r="C134"/>
  <c r="Q133"/>
  <c r="O133"/>
  <c r="M133"/>
  <c r="K133"/>
  <c r="I133"/>
  <c r="G133"/>
  <c r="E133"/>
  <c r="C133"/>
  <c r="Q132"/>
  <c r="O132"/>
  <c r="M132"/>
  <c r="K132"/>
  <c r="I132"/>
  <c r="G132"/>
  <c r="E132"/>
  <c r="C132"/>
  <c r="Q131"/>
  <c r="O131"/>
  <c r="M131"/>
  <c r="K131"/>
  <c r="I131"/>
  <c r="G131"/>
  <c r="E131"/>
  <c r="C131"/>
  <c r="Q130"/>
  <c r="O130"/>
  <c r="M130"/>
  <c r="K130"/>
  <c r="I130"/>
  <c r="G130"/>
  <c r="E130"/>
  <c r="C130"/>
  <c r="Q129"/>
  <c r="O129"/>
  <c r="M129"/>
  <c r="K129"/>
  <c r="I129"/>
  <c r="G129"/>
  <c r="E129"/>
  <c r="C129"/>
  <c r="Q128"/>
  <c r="O128"/>
  <c r="M128"/>
  <c r="K128"/>
  <c r="I128"/>
  <c r="G128"/>
  <c r="E128"/>
  <c r="C128"/>
  <c r="Q127"/>
  <c r="O127"/>
  <c r="M127"/>
  <c r="K127"/>
  <c r="I127"/>
  <c r="G127"/>
  <c r="E127"/>
  <c r="C127"/>
  <c r="Q126"/>
  <c r="O126"/>
  <c r="M126"/>
  <c r="K126"/>
  <c r="I126"/>
  <c r="G126"/>
  <c r="E126"/>
  <c r="C126"/>
  <c r="Q125"/>
  <c r="O125"/>
  <c r="M125"/>
  <c r="K125"/>
  <c r="I125"/>
  <c r="G125"/>
  <c r="E125"/>
  <c r="C125"/>
  <c r="Q124"/>
  <c r="O124"/>
  <c r="M124"/>
  <c r="K124"/>
  <c r="I124"/>
  <c r="G124"/>
  <c r="E124"/>
  <c r="C124"/>
  <c r="Q123"/>
  <c r="O123"/>
  <c r="M123"/>
  <c r="K123"/>
  <c r="I123"/>
  <c r="G123"/>
  <c r="E123"/>
  <c r="C123"/>
  <c r="Q122"/>
  <c r="O122"/>
  <c r="M122"/>
  <c r="K122"/>
  <c r="I122"/>
  <c r="G122"/>
  <c r="E122"/>
  <c r="C122"/>
  <c r="Q121"/>
  <c r="O121"/>
  <c r="M121"/>
  <c r="K121"/>
  <c r="I121"/>
  <c r="G121"/>
  <c r="E121"/>
  <c r="C121"/>
  <c r="Q120"/>
  <c r="O120"/>
  <c r="M120"/>
  <c r="K120"/>
  <c r="I120"/>
  <c r="G120"/>
  <c r="E120"/>
  <c r="C120"/>
  <c r="Q119"/>
  <c r="O119"/>
  <c r="M119"/>
  <c r="K119"/>
  <c r="I119"/>
  <c r="G119"/>
  <c r="E119"/>
  <c r="C119"/>
  <c r="Q118"/>
  <c r="O118"/>
  <c r="M118"/>
  <c r="K118"/>
  <c r="I118"/>
  <c r="G118"/>
  <c r="E118"/>
  <c r="C118"/>
  <c r="Q117"/>
  <c r="O117"/>
  <c r="M117"/>
  <c r="K117"/>
  <c r="I117"/>
  <c r="G117"/>
  <c r="E117"/>
  <c r="C117"/>
  <c r="Q116"/>
  <c r="O116"/>
  <c r="M116"/>
  <c r="K116"/>
  <c r="I116"/>
  <c r="G116"/>
  <c r="E116"/>
  <c r="C116"/>
  <c r="Q115"/>
  <c r="O115"/>
  <c r="M115"/>
  <c r="K115"/>
  <c r="I115"/>
  <c r="G115"/>
  <c r="E115"/>
  <c r="C115"/>
  <c r="Q114"/>
  <c r="O114"/>
  <c r="M114"/>
  <c r="K114"/>
  <c r="I114"/>
  <c r="G114"/>
  <c r="E114"/>
  <c r="C114"/>
  <c r="Q113"/>
  <c r="O113"/>
  <c r="M113"/>
  <c r="K113"/>
  <c r="I113"/>
  <c r="G113"/>
  <c r="E113"/>
  <c r="C113"/>
  <c r="Q112"/>
  <c r="O112"/>
  <c r="M112"/>
  <c r="K112"/>
  <c r="I112"/>
  <c r="G112"/>
  <c r="E112"/>
  <c r="C112"/>
  <c r="Q111"/>
  <c r="O111"/>
  <c r="M111"/>
  <c r="K111"/>
  <c r="I111"/>
  <c r="G111"/>
  <c r="E111"/>
  <c r="C111"/>
  <c r="Q110"/>
  <c r="O110"/>
  <c r="M110"/>
  <c r="K110"/>
  <c r="I110"/>
  <c r="G110"/>
  <c r="E110"/>
  <c r="C110"/>
  <c r="Q109"/>
  <c r="O109"/>
  <c r="M109"/>
  <c r="K109"/>
  <c r="I109"/>
  <c r="G109"/>
  <c r="E109"/>
  <c r="C109"/>
  <c r="Q108"/>
  <c r="O108"/>
  <c r="M108"/>
  <c r="K108"/>
  <c r="I108"/>
  <c r="G108"/>
  <c r="E108"/>
  <c r="C108"/>
  <c r="Q107"/>
  <c r="O107"/>
  <c r="M107"/>
  <c r="K107"/>
  <c r="I107"/>
  <c r="G107"/>
  <c r="E107"/>
  <c r="C107"/>
  <c r="Q106"/>
  <c r="O106"/>
  <c r="M106"/>
  <c r="K106"/>
  <c r="I106"/>
  <c r="G106"/>
  <c r="E106"/>
  <c r="C106"/>
  <c r="Q105"/>
  <c r="O105"/>
  <c r="M105"/>
  <c r="K105"/>
  <c r="I105"/>
  <c r="G105"/>
  <c r="E105"/>
  <c r="C105"/>
  <c r="Q104"/>
  <c r="O104"/>
  <c r="M104"/>
  <c r="K104"/>
  <c r="I104"/>
  <c r="G104"/>
  <c r="E104"/>
  <c r="C104"/>
  <c r="Q103"/>
  <c r="O103"/>
  <c r="M103"/>
  <c r="K103"/>
  <c r="I103"/>
  <c r="G103"/>
  <c r="E103"/>
  <c r="C103"/>
  <c r="Q102"/>
  <c r="O102"/>
  <c r="M102"/>
  <c r="K102"/>
  <c r="I102"/>
  <c r="G102"/>
  <c r="E102"/>
  <c r="C102"/>
  <c r="Q101"/>
  <c r="O101"/>
  <c r="M101"/>
  <c r="K101"/>
  <c r="I101"/>
  <c r="G101"/>
  <c r="E101"/>
  <c r="C101"/>
  <c r="Q100"/>
  <c r="O100"/>
  <c r="M100"/>
  <c r="K100"/>
  <c r="I100"/>
  <c r="G100"/>
  <c r="E100"/>
  <c r="C100"/>
  <c r="Q99"/>
  <c r="O99"/>
  <c r="M99"/>
  <c r="K99"/>
  <c r="I99"/>
  <c r="G99"/>
  <c r="E99"/>
  <c r="C99"/>
  <c r="Q98"/>
  <c r="O98"/>
  <c r="M98"/>
  <c r="K98"/>
  <c r="I98"/>
  <c r="G98"/>
  <c r="E98"/>
  <c r="C98"/>
  <c r="Q97"/>
  <c r="O97"/>
  <c r="M97"/>
  <c r="K97"/>
  <c r="I97"/>
  <c r="G97"/>
  <c r="E97"/>
  <c r="C97"/>
  <c r="Q96"/>
  <c r="O96"/>
  <c r="M96"/>
  <c r="K96"/>
  <c r="I96"/>
  <c r="G96"/>
  <c r="E96"/>
  <c r="C96"/>
  <c r="Q95"/>
  <c r="O95"/>
  <c r="M95"/>
  <c r="K95"/>
  <c r="I95"/>
  <c r="G95"/>
  <c r="E95"/>
  <c r="C95"/>
  <c r="Q94"/>
  <c r="O94"/>
  <c r="M94"/>
  <c r="K94"/>
  <c r="I94"/>
  <c r="G94"/>
  <c r="E94"/>
  <c r="C94"/>
  <c r="Q93"/>
  <c r="O93"/>
  <c r="M93"/>
  <c r="K93"/>
  <c r="I93"/>
  <c r="G93"/>
  <c r="E93"/>
  <c r="C93"/>
  <c r="Q92"/>
  <c r="O92"/>
  <c r="M92"/>
  <c r="K92"/>
  <c r="I92"/>
  <c r="G92"/>
  <c r="E92"/>
  <c r="C92"/>
  <c r="Q91"/>
  <c r="O91"/>
  <c r="M91"/>
  <c r="K91"/>
  <c r="I91"/>
  <c r="G91"/>
  <c r="E91"/>
  <c r="C91"/>
  <c r="Q90"/>
  <c r="O90"/>
  <c r="M90"/>
  <c r="K90"/>
  <c r="I90"/>
  <c r="G90"/>
  <c r="E90"/>
  <c r="C90"/>
  <c r="Q89"/>
  <c r="O89"/>
  <c r="M89"/>
  <c r="K89"/>
  <c r="I89"/>
  <c r="G89"/>
  <c r="E89"/>
  <c r="C89"/>
  <c r="Q88"/>
  <c r="O88"/>
  <c r="M88"/>
  <c r="K88"/>
  <c r="I88"/>
  <c r="G88"/>
  <c r="E88"/>
  <c r="C88"/>
  <c r="Q87"/>
  <c r="O87"/>
  <c r="M87"/>
  <c r="K87"/>
  <c r="I87"/>
  <c r="G87"/>
  <c r="E87"/>
  <c r="C87"/>
  <c r="Q86"/>
  <c r="O86"/>
  <c r="M86"/>
  <c r="K86"/>
  <c r="I86"/>
  <c r="G86"/>
  <c r="E86"/>
  <c r="C86"/>
  <c r="Q85"/>
  <c r="O85"/>
  <c r="M85"/>
  <c r="K85"/>
  <c r="I85"/>
  <c r="G85"/>
  <c r="E85"/>
  <c r="C85"/>
  <c r="Q84"/>
  <c r="O84"/>
  <c r="M84"/>
  <c r="K84"/>
  <c r="I84"/>
  <c r="G84"/>
  <c r="E84"/>
  <c r="C84"/>
  <c r="Q83"/>
  <c r="O83"/>
  <c r="M83"/>
  <c r="K83"/>
  <c r="I83"/>
  <c r="G83"/>
  <c r="E83"/>
  <c r="C83"/>
  <c r="Q82"/>
  <c r="O82"/>
  <c r="M82"/>
  <c r="K82"/>
  <c r="I82"/>
  <c r="G82"/>
  <c r="E82"/>
  <c r="C82"/>
  <c r="Q81"/>
  <c r="O81"/>
  <c r="M81"/>
  <c r="K81"/>
  <c r="I81"/>
  <c r="G81"/>
  <c r="E81"/>
  <c r="C81"/>
  <c r="Q80"/>
  <c r="O80"/>
  <c r="M80"/>
  <c r="K80"/>
  <c r="I80"/>
  <c r="G80"/>
  <c r="E80"/>
  <c r="C80"/>
  <c r="Q79"/>
  <c r="O79"/>
  <c r="M79"/>
  <c r="K79"/>
  <c r="I79"/>
  <c r="G79"/>
  <c r="E79"/>
  <c r="C79"/>
  <c r="Q78"/>
  <c r="O78"/>
  <c r="M78"/>
  <c r="K78"/>
  <c r="I78"/>
  <c r="G78"/>
  <c r="E78"/>
  <c r="C78"/>
  <c r="Q77"/>
  <c r="O77"/>
  <c r="M77"/>
  <c r="K77"/>
  <c r="I77"/>
  <c r="G77"/>
  <c r="E77"/>
  <c r="C77"/>
  <c r="Q76"/>
  <c r="O76"/>
  <c r="M76"/>
  <c r="K76"/>
  <c r="I76"/>
  <c r="G76"/>
  <c r="E76"/>
  <c r="C76"/>
  <c r="Q75"/>
  <c r="O75"/>
  <c r="M75"/>
  <c r="K75"/>
  <c r="I75"/>
  <c r="G75"/>
  <c r="E75"/>
  <c r="C75"/>
  <c r="Q74"/>
  <c r="O74"/>
  <c r="M74"/>
  <c r="K74"/>
  <c r="I74"/>
  <c r="G74"/>
  <c r="E74"/>
  <c r="C74"/>
  <c r="Q73"/>
  <c r="O73"/>
  <c r="M73"/>
  <c r="K73"/>
  <c r="I73"/>
  <c r="G73"/>
  <c r="E73"/>
  <c r="C73"/>
  <c r="Q72"/>
  <c r="O72"/>
  <c r="M72"/>
  <c r="K72"/>
  <c r="I72"/>
  <c r="G72"/>
  <c r="E72"/>
  <c r="C72"/>
  <c r="Q71"/>
  <c r="O71"/>
  <c r="M71"/>
  <c r="K71"/>
  <c r="I71"/>
  <c r="G71"/>
  <c r="E71"/>
  <c r="C71"/>
  <c r="Q70"/>
  <c r="O70"/>
  <c r="M70"/>
  <c r="K70"/>
  <c r="I70"/>
  <c r="G70"/>
  <c r="E70"/>
  <c r="C70"/>
  <c r="Q69"/>
  <c r="O69"/>
  <c r="M69"/>
  <c r="K69"/>
  <c r="I69"/>
  <c r="G69"/>
  <c r="E69"/>
  <c r="C69"/>
  <c r="Q68"/>
  <c r="O68"/>
  <c r="M68"/>
  <c r="K68"/>
  <c r="I68"/>
  <c r="G68"/>
  <c r="E68"/>
  <c r="C68"/>
  <c r="Q67"/>
  <c r="O67"/>
  <c r="M67"/>
  <c r="K67"/>
  <c r="I67"/>
  <c r="G67"/>
  <c r="E67"/>
  <c r="C67"/>
  <c r="Q66"/>
  <c r="O66"/>
  <c r="M66"/>
  <c r="K66"/>
  <c r="I66"/>
  <c r="G66"/>
  <c r="E66"/>
  <c r="C66"/>
  <c r="Q65"/>
  <c r="O65"/>
  <c r="M65"/>
  <c r="K65"/>
  <c r="I65"/>
  <c r="G65"/>
  <c r="E65"/>
  <c r="C65"/>
  <c r="Q64"/>
  <c r="O64"/>
  <c r="M64"/>
  <c r="K64"/>
  <c r="I64"/>
  <c r="G64"/>
  <c r="E64"/>
  <c r="C64"/>
  <c r="Q63"/>
  <c r="O63"/>
  <c r="M63"/>
  <c r="K63"/>
  <c r="I63"/>
  <c r="G63"/>
  <c r="E63"/>
  <c r="C63"/>
  <c r="Q62"/>
  <c r="O62"/>
  <c r="M62"/>
  <c r="K62"/>
  <c r="I62"/>
  <c r="G62"/>
  <c r="E62"/>
  <c r="C62"/>
  <c r="Q61"/>
  <c r="O61"/>
  <c r="M61"/>
  <c r="K61"/>
  <c r="I61"/>
  <c r="G61"/>
  <c r="E61"/>
  <c r="C61"/>
  <c r="Q60"/>
  <c r="O60"/>
  <c r="M60"/>
  <c r="K60"/>
  <c r="I60"/>
  <c r="G60"/>
  <c r="E60"/>
  <c r="C60"/>
  <c r="Q59"/>
  <c r="O59"/>
  <c r="M59"/>
  <c r="K59"/>
  <c r="I59"/>
  <c r="G59"/>
  <c r="E59"/>
  <c r="C59"/>
  <c r="Q58"/>
  <c r="O58"/>
  <c r="M58"/>
  <c r="K58"/>
  <c r="I58"/>
  <c r="G58"/>
  <c r="E58"/>
  <c r="C58"/>
  <c r="Q57"/>
  <c r="O57"/>
  <c r="M57"/>
  <c r="K57"/>
  <c r="I57"/>
  <c r="G57"/>
  <c r="E57"/>
  <c r="C57"/>
  <c r="Q56"/>
  <c r="O56"/>
  <c r="M56"/>
  <c r="K56"/>
  <c r="I56"/>
  <c r="G56"/>
  <c r="E56"/>
  <c r="C56"/>
  <c r="Q55"/>
  <c r="O55"/>
  <c r="M55"/>
  <c r="K55"/>
  <c r="I55"/>
  <c r="G55"/>
  <c r="E55"/>
  <c r="C55"/>
  <c r="Q54"/>
  <c r="O54"/>
  <c r="M54"/>
  <c r="K54"/>
  <c r="I54"/>
  <c r="G54"/>
  <c r="E54"/>
  <c r="C54"/>
  <c r="Q53"/>
  <c r="O53"/>
  <c r="M53"/>
  <c r="K53"/>
  <c r="I53"/>
  <c r="G53"/>
  <c r="E53"/>
  <c r="C53"/>
  <c r="Q52"/>
  <c r="O52"/>
  <c r="M52"/>
  <c r="K52"/>
  <c r="I52"/>
  <c r="G52"/>
  <c r="E52"/>
  <c r="C52"/>
  <c r="Q51"/>
  <c r="O51"/>
  <c r="M51"/>
  <c r="K51"/>
  <c r="I51"/>
  <c r="G51"/>
  <c r="E51"/>
  <c r="C51"/>
  <c r="Q50"/>
  <c r="O50"/>
  <c r="M50"/>
  <c r="K50"/>
  <c r="I50"/>
  <c r="G50"/>
  <c r="E50"/>
  <c r="C50"/>
  <c r="Q49"/>
  <c r="O49"/>
  <c r="M49"/>
  <c r="K49"/>
  <c r="I49"/>
  <c r="G49"/>
  <c r="E49"/>
  <c r="C49"/>
  <c r="Q48"/>
  <c r="O48"/>
  <c r="M48"/>
  <c r="K48"/>
  <c r="I48"/>
  <c r="G48"/>
  <c r="E48"/>
  <c r="C48"/>
  <c r="Q47"/>
  <c r="O47"/>
  <c r="M47"/>
  <c r="K47"/>
  <c r="I47"/>
  <c r="G47"/>
  <c r="E47"/>
  <c r="C47"/>
  <c r="Q46"/>
  <c r="O46"/>
  <c r="M46"/>
  <c r="K46"/>
  <c r="I46"/>
  <c r="G46"/>
  <c r="E46"/>
  <c r="C46"/>
  <c r="Q45"/>
  <c r="O45"/>
  <c r="M45"/>
  <c r="K45"/>
  <c r="I45"/>
  <c r="G45"/>
  <c r="E45"/>
  <c r="C45"/>
  <c r="Q44"/>
  <c r="O44"/>
  <c r="M44"/>
  <c r="K44"/>
  <c r="I44"/>
  <c r="G44"/>
  <c r="E44"/>
  <c r="C44"/>
  <c r="Q43"/>
  <c r="O43"/>
  <c r="M43"/>
  <c r="K43"/>
  <c r="I43"/>
  <c r="G43"/>
  <c r="E43"/>
  <c r="C43"/>
  <c r="Q42"/>
  <c r="O42"/>
  <c r="M42"/>
  <c r="K42"/>
  <c r="I42"/>
  <c r="G42"/>
  <c r="E42"/>
  <c r="C42"/>
  <c r="Q41"/>
  <c r="O41"/>
  <c r="M41"/>
  <c r="K41"/>
  <c r="I41"/>
  <c r="G41"/>
  <c r="E41"/>
  <c r="C41"/>
  <c r="Q40"/>
  <c r="O40"/>
  <c r="M40"/>
  <c r="K40"/>
  <c r="I40"/>
  <c r="G40"/>
  <c r="E40"/>
  <c r="C40"/>
  <c r="Q39"/>
  <c r="O39"/>
  <c r="M39"/>
  <c r="K39"/>
  <c r="I39"/>
  <c r="G39"/>
  <c r="E39"/>
  <c r="C39"/>
  <c r="Q38"/>
  <c r="O38"/>
  <c r="M38"/>
  <c r="K38"/>
  <c r="I38"/>
  <c r="G38"/>
  <c r="E38"/>
  <c r="C38"/>
  <c r="Q37"/>
  <c r="O37"/>
  <c r="M37"/>
  <c r="K37"/>
  <c r="I37"/>
  <c r="G37"/>
  <c r="E37"/>
  <c r="C37"/>
  <c r="Q36"/>
  <c r="O36"/>
  <c r="M36"/>
  <c r="K36"/>
  <c r="I36"/>
  <c r="G36"/>
  <c r="E36"/>
  <c r="C36"/>
  <c r="I29"/>
  <c r="K29"/>
  <c r="O29"/>
  <c r="Q29"/>
  <c r="I28"/>
  <c r="K28"/>
  <c r="M28"/>
  <c r="O28"/>
  <c r="Q28"/>
  <c r="I27"/>
  <c r="K27"/>
  <c r="M27"/>
  <c r="O27"/>
  <c r="Q27"/>
  <c r="I26"/>
  <c r="K26"/>
  <c r="M26"/>
  <c r="O26"/>
  <c r="Q26"/>
  <c r="I25"/>
  <c r="K25"/>
  <c r="M25"/>
  <c r="O25"/>
  <c r="Q25"/>
  <c r="P23"/>
  <c r="N23"/>
  <c r="L23"/>
  <c r="J23"/>
  <c r="H23"/>
  <c r="F23"/>
  <c r="D23"/>
  <c r="F20"/>
  <c r="D12"/>
  <c r="E12"/>
  <c r="F12"/>
  <c r="G12"/>
  <c r="H12"/>
  <c r="I12"/>
  <c r="J12"/>
  <c r="K12"/>
  <c r="L12"/>
  <c r="M12"/>
  <c r="N12"/>
  <c r="O12"/>
  <c r="P12"/>
  <c r="Q12"/>
  <c r="R12"/>
  <c r="S12"/>
  <c r="D10"/>
  <c r="E10"/>
  <c r="F10"/>
  <c r="G10"/>
  <c r="H10"/>
  <c r="I10"/>
  <c r="J10"/>
  <c r="K10"/>
  <c r="L10"/>
  <c r="M10"/>
  <c r="N10"/>
  <c r="O10"/>
  <c r="P10"/>
  <c r="Q10"/>
  <c r="R10"/>
  <c r="S10"/>
  <c r="E8"/>
  <c r="F8"/>
  <c r="G8"/>
  <c r="H8"/>
  <c r="I8"/>
  <c r="J8"/>
  <c r="K8"/>
  <c r="L8"/>
  <c r="M8"/>
  <c r="N8"/>
  <c r="O8"/>
  <c r="P8"/>
  <c r="Q8"/>
  <c r="R8"/>
  <c r="S8"/>
  <c r="G6"/>
  <c r="H6"/>
  <c r="I6"/>
  <c r="J6"/>
  <c r="K6"/>
  <c r="L6"/>
  <c r="M6"/>
  <c r="N6"/>
  <c r="O6"/>
  <c r="P6"/>
  <c r="Q6"/>
  <c r="R6"/>
  <c r="S6"/>
  <c r="S2"/>
  <c r="R2"/>
  <c r="Q2"/>
  <c r="P2"/>
  <c r="O2"/>
  <c r="N2"/>
  <c r="M2"/>
  <c r="L2"/>
  <c r="K2"/>
  <c r="J2"/>
  <c r="I2"/>
  <c r="H2"/>
  <c r="G2"/>
  <c r="F2"/>
  <c r="E2"/>
  <c r="D2"/>
  <c r="C2"/>
  <c r="Y7" i="1"/>
  <c r="U7"/>
  <c r="V7"/>
  <c r="W7"/>
  <c r="N7"/>
  <c r="L7"/>
  <c r="J7"/>
  <c r="I7"/>
  <c r="H7"/>
  <c r="Q6" i="71"/>
  <c r="Q7"/>
  <c r="Q8"/>
  <c r="Q9"/>
  <c r="Q10"/>
  <c r="Q11"/>
  <c r="Q12"/>
  <c r="Q13"/>
  <c r="Q14"/>
  <c r="Q15"/>
  <c r="Q16"/>
  <c r="Q17"/>
  <c r="Q18"/>
  <c r="Q19"/>
  <c r="Q20"/>
  <c r="Q21"/>
  <c r="Q22"/>
  <c r="Q23"/>
  <c r="Q24"/>
  <c r="Q25"/>
  <c r="Q26"/>
  <c r="Q27"/>
  <c r="Q28"/>
  <c r="AB6"/>
  <c r="Q5"/>
  <c r="AB5"/>
  <c r="P6"/>
  <c r="P7"/>
  <c r="P8"/>
  <c r="P9"/>
  <c r="P10"/>
  <c r="P11"/>
  <c r="P12"/>
  <c r="P13"/>
  <c r="P14"/>
  <c r="P15"/>
  <c r="P16"/>
  <c r="P17"/>
  <c r="P18"/>
  <c r="P19"/>
  <c r="P20"/>
  <c r="P21"/>
  <c r="P22"/>
  <c r="P23"/>
  <c r="P24"/>
  <c r="P25"/>
  <c r="P26"/>
  <c r="P27"/>
  <c r="P28"/>
  <c r="AA6"/>
  <c r="P5"/>
  <c r="AA5"/>
  <c r="O6"/>
  <c r="O5"/>
  <c r="O7"/>
  <c r="O8"/>
  <c r="O9"/>
  <c r="O10"/>
  <c r="O11"/>
  <c r="O12"/>
  <c r="O13"/>
  <c r="O14"/>
  <c r="O15"/>
  <c r="O16"/>
  <c r="O17"/>
  <c r="O18"/>
  <c r="O19"/>
  <c r="O20"/>
  <c r="O21"/>
  <c r="O22"/>
  <c r="O23"/>
  <c r="O24"/>
  <c r="O25"/>
  <c r="O26"/>
  <c r="O27"/>
  <c r="O28"/>
  <c r="Y5"/>
  <c r="Y6"/>
  <c r="N6"/>
  <c r="N5"/>
  <c r="N7"/>
  <c r="N8"/>
  <c r="N9"/>
  <c r="N10"/>
  <c r="N11"/>
  <c r="N12"/>
  <c r="N13"/>
  <c r="N14"/>
  <c r="N15"/>
  <c r="N16"/>
  <c r="N17"/>
  <c r="N18"/>
  <c r="N19"/>
  <c r="N20"/>
  <c r="N21"/>
  <c r="N22"/>
  <c r="N23"/>
  <c r="N24"/>
  <c r="N25"/>
  <c r="N26"/>
  <c r="N27"/>
  <c r="N28"/>
  <c r="X5"/>
  <c r="X6"/>
  <c r="AH5"/>
  <c r="AG5"/>
  <c r="AE5"/>
  <c r="AF5"/>
  <c r="AD5"/>
  <c r="Z5"/>
  <c r="F13"/>
  <c r="F12"/>
  <c r="F11"/>
  <c r="F10"/>
  <c r="F9"/>
  <c r="F8"/>
  <c r="F7"/>
  <c r="F6"/>
  <c r="F5"/>
  <c r="E13"/>
  <c r="E12"/>
  <c r="E11"/>
  <c r="E10"/>
  <c r="E9"/>
  <c r="E8"/>
  <c r="E7"/>
  <c r="E6"/>
  <c r="E5"/>
  <c r="C13"/>
  <c r="C12"/>
  <c r="C11"/>
  <c r="C10"/>
  <c r="C9"/>
  <c r="C8"/>
  <c r="C7"/>
  <c r="C6"/>
  <c r="C5"/>
  <c r="D5"/>
  <c r="B13"/>
  <c r="B12"/>
  <c r="B11"/>
  <c r="B10"/>
  <c r="B9"/>
  <c r="B8"/>
  <c r="B7"/>
  <c r="B6"/>
  <c r="B5"/>
  <c r="AH6"/>
  <c r="AG6"/>
  <c r="AE6"/>
  <c r="AF6"/>
  <c r="AD6"/>
  <c r="Z6"/>
  <c r="D6"/>
  <c r="AH7"/>
  <c r="AG7"/>
  <c r="AE7"/>
  <c r="AF7"/>
  <c r="AD7"/>
  <c r="F24" i="12"/>
  <c r="F7" i="69"/>
  <c r="F7" i="68"/>
  <c r="M15" i="45"/>
  <c r="L15"/>
  <c r="K15"/>
  <c r="J15"/>
  <c r="I15"/>
  <c r="H15"/>
  <c r="G15"/>
  <c r="F15"/>
  <c r="E15"/>
  <c r="D15"/>
  <c r="C15"/>
  <c r="B15"/>
  <c r="AH8" i="71"/>
  <c r="AG8"/>
  <c r="AE8"/>
  <c r="AF8"/>
  <c r="AD8"/>
  <c r="AA7"/>
  <c r="Y7"/>
  <c r="X7"/>
  <c r="AD9"/>
  <c r="AH9"/>
  <c r="AG9"/>
  <c r="AE9"/>
  <c r="AF9"/>
  <c r="L3"/>
  <c r="AH3"/>
  <c r="K3"/>
  <c r="AG3"/>
  <c r="J3"/>
  <c r="AE3"/>
  <c r="I3"/>
  <c r="AH10"/>
  <c r="AG10"/>
  <c r="AE10"/>
  <c r="AF10"/>
  <c r="AD10"/>
  <c r="AA10"/>
  <c r="X10"/>
  <c r="AH11"/>
  <c r="AG11"/>
  <c r="AE11"/>
  <c r="AF11"/>
  <c r="AD11"/>
  <c r="AB10"/>
  <c r="AA11"/>
  <c r="Y10"/>
  <c r="Z10"/>
  <c r="M19" i="43"/>
  <c r="D14" i="71"/>
  <c r="AH12"/>
  <c r="AG12"/>
  <c r="AE12"/>
  <c r="AF12"/>
  <c r="AD12"/>
  <c r="M19" i="9"/>
  <c r="C118"/>
  <c r="C14" i="74"/>
  <c r="M18" i="9"/>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2" i="4"/>
  <c r="L20"/>
  <c r="L21"/>
  <c r="A15" i="62"/>
  <c r="A14"/>
  <c r="A13"/>
  <c r="B59" i="72"/>
  <c r="A19" i="62"/>
  <c r="A12"/>
  <c r="B58" i="72"/>
  <c r="A120" i="9"/>
  <c r="H2" i="52"/>
  <c r="A1"/>
  <c r="A3" i="53"/>
  <c r="A15" i="51"/>
  <c r="B12" i="72"/>
  <c r="C76" i="9"/>
  <c r="I107" i="40"/>
  <c r="K6" i="4"/>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38" i="68"/>
  <c r="E37"/>
  <c r="F36"/>
  <c r="F35"/>
  <c r="F21"/>
  <c r="C21"/>
  <c r="F20"/>
  <c r="E10"/>
  <c r="E9"/>
  <c r="C7"/>
  <c r="C5"/>
  <c r="W21" i="21"/>
  <c r="AC21"/>
  <c r="C40" i="68"/>
  <c r="Q72" i="67"/>
  <c r="Q59"/>
  <c r="Q58"/>
  <c r="Q51"/>
  <c r="D46"/>
  <c r="F61"/>
  <c r="D24"/>
  <c r="M19"/>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E8"/>
  <c r="F8"/>
  <c r="G8"/>
  <c r="H8"/>
  <c r="I8"/>
  <c r="J8"/>
  <c r="K8"/>
  <c r="L8"/>
  <c r="M8"/>
  <c r="N8"/>
  <c r="O8"/>
  <c r="P8"/>
  <c r="Q8"/>
  <c r="R8"/>
  <c r="S8"/>
  <c r="D6"/>
  <c r="E6"/>
  <c r="F6"/>
  <c r="G6"/>
  <c r="H6"/>
  <c r="I6"/>
  <c r="J6"/>
  <c r="K6"/>
  <c r="L6"/>
  <c r="M6"/>
  <c r="N6"/>
  <c r="O6"/>
  <c r="P6"/>
  <c r="Q6"/>
  <c r="R6"/>
  <c r="S6"/>
  <c r="F8" i="1"/>
  <c r="F9"/>
  <c r="F10"/>
  <c r="F11"/>
  <c r="F12"/>
  <c r="F13"/>
  <c r="D6"/>
  <c r="D9"/>
  <c r="D10"/>
  <c r="D11"/>
  <c r="D12"/>
  <c r="D13"/>
  <c r="D7"/>
  <c r="D8"/>
  <c r="A8"/>
  <c r="B8"/>
  <c r="E8"/>
  <c r="A9"/>
  <c r="A10"/>
  <c r="A11"/>
  <c r="A12"/>
  <c r="A13"/>
  <c r="F3" i="35"/>
  <c r="B11" i="1"/>
  <c r="E11"/>
  <c r="B7"/>
  <c r="E7"/>
  <c r="K10"/>
  <c r="B13"/>
  <c r="E13"/>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9" i="31"/>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E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33" i="15"/>
  <c r="F61"/>
  <c r="M19"/>
  <c r="M10" i="1"/>
  <c r="O10"/>
  <c r="B23"/>
  <c r="B24"/>
  <c r="D78" i="9"/>
  <c r="K8" i="1"/>
  <c r="M8"/>
  <c r="F23" i="15"/>
  <c r="D24"/>
  <c r="O8" i="1"/>
  <c r="P8"/>
  <c r="M13"/>
  <c r="O13"/>
  <c r="P13"/>
  <c r="BC10" i="3"/>
  <c r="BD10"/>
  <c r="BB10"/>
  <c r="I5"/>
  <c r="AD5"/>
  <c r="AH5"/>
  <c r="AL5"/>
  <c r="AP5"/>
  <c r="F35" i="11"/>
  <c r="F36"/>
  <c r="F38"/>
  <c r="E37"/>
  <c r="F20"/>
  <c r="F21"/>
  <c r="C21"/>
  <c r="F7"/>
  <c r="C7"/>
  <c r="C5"/>
  <c r="F12" i="12"/>
  <c r="F13"/>
  <c r="F15"/>
  <c r="E14"/>
  <c r="BC11" i="3"/>
  <c r="BD11"/>
  <c r="BB11"/>
  <c r="E19" i="12"/>
  <c r="E20"/>
  <c r="E17"/>
  <c r="F22"/>
  <c r="F23"/>
  <c r="I55" i="9"/>
  <c r="F55"/>
  <c r="O53"/>
  <c r="D89"/>
  <c r="C89"/>
  <c r="C87"/>
  <c r="G12" i="1"/>
  <c r="J55" i="9"/>
  <c r="B31" i="1"/>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E91"/>
  <c r="C23"/>
  <c r="C19"/>
  <c r="C17"/>
  <c r="C15"/>
  <c r="C15" i="21"/>
  <c r="E117" i="33"/>
  <c r="F117"/>
  <c r="G117"/>
  <c r="D115"/>
  <c r="E115"/>
  <c r="F115"/>
  <c r="G115"/>
  <c r="H115"/>
  <c r="I115"/>
  <c r="J115"/>
  <c r="K115"/>
  <c r="L115"/>
  <c r="M115"/>
  <c r="D108"/>
  <c r="E108"/>
  <c r="F108"/>
  <c r="D106"/>
  <c r="E106"/>
  <c r="M102"/>
  <c r="L102"/>
  <c r="K102"/>
  <c r="J102"/>
  <c r="I102"/>
  <c r="H102"/>
  <c r="G102"/>
  <c r="F102"/>
  <c r="E102"/>
  <c r="D102"/>
  <c r="C102"/>
  <c r="D101"/>
  <c r="E101"/>
  <c r="D87"/>
  <c r="E87"/>
  <c r="E81"/>
  <c r="F77"/>
  <c r="G77"/>
  <c r="D69"/>
  <c r="E69"/>
  <c r="F69"/>
  <c r="G69"/>
  <c r="H69"/>
  <c r="I69"/>
  <c r="J69"/>
  <c r="K69"/>
  <c r="L69"/>
  <c r="M69"/>
  <c r="M67"/>
  <c r="L67"/>
  <c r="K67"/>
  <c r="J67"/>
  <c r="I67"/>
  <c r="H67"/>
  <c r="G67"/>
  <c r="F67"/>
  <c r="E67"/>
  <c r="D67"/>
  <c r="C67"/>
  <c r="G66"/>
  <c r="H66"/>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AC28" i="34"/>
  <c r="S21" i="40"/>
  <c r="AA12" i="21"/>
  <c r="H25"/>
  <c r="U25"/>
  <c r="F25"/>
  <c r="S25"/>
  <c r="J25"/>
  <c r="AC25"/>
  <c r="E125" i="33"/>
  <c r="F125"/>
  <c r="H17" i="37"/>
  <c r="U17"/>
  <c r="AB27"/>
  <c r="U32" i="33"/>
  <c r="AA36" i="39"/>
  <c r="E123" i="33"/>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BO5" i="3"/>
  <c r="BM5"/>
  <c r="F29" i="6"/>
  <c r="BJ5" i="3"/>
  <c r="BH5"/>
  <c r="BF5"/>
  <c r="BD5"/>
  <c r="AC5"/>
  <c r="BP5"/>
  <c r="BN5"/>
  <c r="BK5"/>
  <c r="BI5"/>
  <c r="BG5"/>
  <c r="BE5"/>
  <c r="BC5"/>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E13" i="6"/>
  <c r="E58" i="40"/>
  <c r="G29" i="6"/>
  <c r="E29"/>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K12" i="1"/>
  <c r="M12"/>
  <c r="O12"/>
  <c r="P12"/>
  <c r="S13"/>
  <c r="AR13"/>
  <c r="R13"/>
  <c r="S11"/>
  <c r="AQ11"/>
  <c r="R11"/>
  <c r="S9"/>
  <c r="AR9"/>
  <c r="R9"/>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62" i="67"/>
  <c r="M20"/>
  <c r="F34" i="15"/>
  <c r="F62"/>
  <c r="E10" i="6"/>
  <c r="E11"/>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S8" i="1"/>
  <c r="K11"/>
  <c r="M11"/>
  <c r="O11"/>
  <c r="P11"/>
  <c r="AP6"/>
  <c r="B9"/>
  <c r="E9"/>
  <c r="K7"/>
  <c r="G1" i="15"/>
  <c r="G1" i="69"/>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B13" i="49"/>
  <c r="E4" i="4"/>
  <c r="C4"/>
  <c r="K4"/>
  <c r="B46" i="48"/>
  <c r="B4" i="72"/>
  <c r="AQ13" i="1"/>
  <c r="M6"/>
  <c r="O6"/>
  <c r="P6"/>
  <c r="F30" i="68"/>
  <c r="F30" i="11"/>
  <c r="C48"/>
  <c r="F52" i="9"/>
  <c r="M18" i="67"/>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B5" i="62"/>
  <c r="B73" i="72"/>
  <c r="S21" i="6"/>
  <c r="L27"/>
  <c r="S26"/>
  <c r="S22"/>
  <c r="AP7" i="1"/>
  <c r="M7"/>
  <c r="O7"/>
  <c r="Q16"/>
  <c r="F27" i="69"/>
  <c r="C47"/>
  <c r="D45"/>
  <c r="H16" i="1"/>
  <c r="K16"/>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M16" i="1"/>
  <c r="N16"/>
  <c r="F27" i="11"/>
  <c r="AC11" i="37"/>
  <c r="W11"/>
  <c r="W11" i="34"/>
  <c r="AC11"/>
  <c r="B2" i="74"/>
  <c r="E6" i="3"/>
  <c r="D10" i="68"/>
  <c r="C10"/>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F34" i="68"/>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D2" i="33"/>
  <c r="L51" i="67"/>
  <c r="L57"/>
  <c r="L47"/>
  <c r="L58"/>
  <c r="N59"/>
  <c r="M59"/>
  <c r="L59"/>
  <c r="L60"/>
  <c r="D19" i="9"/>
  <c r="H110"/>
  <c r="D18" i="53"/>
  <c r="B35" i="72"/>
  <c r="D124" i="9"/>
  <c r="D16" i="53"/>
  <c r="B34" i="72"/>
  <c r="D10" i="52"/>
  <c r="H14" i="74"/>
  <c r="D17" i="53"/>
  <c r="B36" i="72"/>
  <c r="D125" i="9"/>
  <c r="D11" i="52"/>
  <c r="B7" i="74"/>
  <c r="D7"/>
  <c r="C7"/>
  <c r="W7" i="33"/>
  <c r="S7"/>
  <c r="H112" i="9"/>
  <c r="D21" i="53"/>
  <c r="B39" i="72"/>
  <c r="H111" i="9"/>
  <c r="D126"/>
  <c r="D19" i="53"/>
  <c r="D59" i="9"/>
  <c r="M55"/>
  <c r="B38" i="72"/>
  <c r="D20" i="53"/>
  <c r="B40" i="72"/>
  <c r="I14" i="74"/>
  <c r="B8"/>
  <c r="D127" i="9"/>
  <c r="D13" i="52"/>
  <c r="D12"/>
  <c r="D8" i="74"/>
  <c r="C8"/>
  <c r="AD3" i="71"/>
  <c r="B4" i="62"/>
  <c r="B71" i="72"/>
  <c r="C65" i="40"/>
  <c r="D63"/>
  <c r="G16" i="1"/>
  <c r="C36" i="11"/>
  <c r="C33"/>
  <c r="C39"/>
  <c r="C46"/>
  <c r="C45"/>
  <c r="C36" i="68"/>
  <c r="C13" i="12"/>
  <c r="C30" i="69"/>
  <c r="C77" i="9"/>
  <c r="C74"/>
  <c r="C30" i="68"/>
  <c r="H77" i="43"/>
  <c r="H76"/>
  <c r="H51"/>
  <c r="H67"/>
  <c r="H59"/>
  <c r="H60"/>
  <c r="H61"/>
  <c r="M4"/>
  <c r="M5"/>
  <c r="N12"/>
  <c r="N11"/>
  <c r="M10"/>
  <c r="M2"/>
  <c r="M7"/>
  <c r="H70"/>
  <c r="H54"/>
  <c r="N9"/>
  <c r="M8"/>
  <c r="N10"/>
  <c r="H48"/>
  <c r="H74"/>
  <c r="M6"/>
  <c r="N7"/>
  <c r="N4"/>
  <c r="N2"/>
  <c r="H49"/>
  <c r="N17"/>
  <c r="L17"/>
  <c r="O17"/>
  <c r="M17"/>
  <c r="E17"/>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9" i="49"/>
  <c r="D19" i="68"/>
  <c r="C19"/>
  <c r="E6" i="49"/>
  <c r="B8"/>
  <c r="E4"/>
  <c r="B14"/>
  <c r="B22"/>
  <c r="C47" i="68"/>
  <c r="D45"/>
  <c r="C34"/>
  <c r="C35"/>
  <c r="G20" i="43"/>
  <c r="D65" i="40"/>
  <c r="E63"/>
  <c r="G17" i="43"/>
  <c r="C16"/>
  <c r="D5"/>
  <c r="C5"/>
  <c r="E58" i="21"/>
  <c r="F58"/>
  <c r="G58"/>
  <c r="H58"/>
  <c r="I58"/>
  <c r="J58"/>
  <c r="K58"/>
  <c r="L58"/>
  <c r="M58"/>
  <c r="N58"/>
  <c r="O58"/>
  <c r="F7"/>
  <c r="H7"/>
  <c r="U7" i="36"/>
  <c r="AB7"/>
  <c r="T36"/>
  <c r="G36"/>
  <c r="AA7" i="35"/>
  <c r="R38"/>
  <c r="S7"/>
  <c r="AC7" i="37"/>
  <c r="V42"/>
  <c r="I42"/>
  <c r="W7"/>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15"/>
  <c r="D2" i="34"/>
  <c r="F40" i="15"/>
  <c r="B10" i="76"/>
  <c r="M27" i="67"/>
  <c r="F16" i="15"/>
  <c r="B8" i="76"/>
  <c r="M29" i="67"/>
  <c r="AO7" i="1"/>
  <c r="F20" i="31"/>
  <c r="M21" i="15"/>
  <c r="F5" i="73"/>
  <c r="D2" i="21"/>
  <c r="AO6" i="1"/>
  <c r="E11" i="76"/>
  <c r="F7" i="73"/>
  <c r="F43" i="15"/>
  <c r="F35"/>
  <c r="AO12" i="1"/>
  <c r="D34" i="9"/>
  <c r="F8" i="15"/>
  <c r="E9" i="76"/>
  <c r="M21" i="67"/>
  <c r="E2" i="68"/>
  <c r="F36" i="15"/>
  <c r="J15"/>
  <c r="C76"/>
  <c r="D2" i="36"/>
  <c r="M24" i="67"/>
  <c r="AO13" i="1"/>
  <c r="F7" i="15"/>
  <c r="B13" i="76"/>
  <c r="B9"/>
  <c r="M8" i="15"/>
  <c r="M28" i="67"/>
  <c r="B7" i="76"/>
  <c r="F13" i="15"/>
  <c r="F38"/>
  <c r="M23"/>
  <c r="J15" i="67"/>
  <c r="AO8" i="1"/>
  <c r="F3" i="73"/>
  <c r="M26" i="15"/>
  <c r="M29"/>
  <c r="M22" i="67"/>
  <c r="F6" i="73"/>
  <c r="D2" i="37"/>
  <c r="L47" i="15"/>
  <c r="M6"/>
  <c r="AO9" i="1"/>
  <c r="B11" i="76"/>
  <c r="C14" i="15"/>
  <c r="F37"/>
  <c r="AO11" i="1"/>
  <c r="F41" i="15"/>
  <c r="D7" i="73"/>
  <c r="F9" i="15"/>
  <c r="E7" i="76"/>
  <c r="M24" i="15"/>
  <c r="E10" i="76"/>
  <c r="AO10" i="1"/>
  <c r="M23" i="67"/>
  <c r="E2" i="69"/>
  <c r="E12" i="76"/>
  <c r="M22" i="15"/>
  <c r="F42"/>
  <c r="E8" i="76"/>
  <c r="E13"/>
  <c r="D2" i="35"/>
  <c r="M9" i="15"/>
  <c r="M28"/>
  <c r="F26"/>
  <c r="D4" i="73"/>
  <c r="E6" i="76"/>
  <c r="B6"/>
  <c r="B12"/>
  <c r="M26" i="67"/>
  <c r="M27" i="15"/>
  <c r="F6"/>
  <c r="D35" i="9"/>
  <c r="D3" i="73"/>
  <c r="F31" i="15"/>
  <c r="E9" i="49"/>
  <c r="E13"/>
  <c r="B11"/>
  <c r="E21"/>
  <c r="E8"/>
  <c r="B10"/>
  <c r="E11"/>
  <c r="E22"/>
  <c r="B4"/>
  <c r="C29" i="69"/>
  <c r="D27"/>
  <c r="B6" i="49"/>
  <c r="R16" i="1"/>
  <c r="D37" i="68"/>
  <c r="C37"/>
  <c r="C38"/>
  <c r="C12" i="12"/>
  <c r="C8" i="69"/>
  <c r="C5"/>
  <c r="C6" i="15"/>
  <c r="F69" i="67"/>
  <c r="F71"/>
  <c r="B2" i="76"/>
  <c r="E2"/>
  <c r="E20" i="43"/>
  <c r="C27" i="15"/>
  <c r="B2" i="35"/>
  <c r="B3"/>
  <c r="F66" i="67"/>
  <c r="B10" i="70"/>
  <c r="F51" i="67"/>
  <c r="F69" i="15"/>
  <c r="B11" i="70"/>
  <c r="F65" i="15"/>
  <c r="C15"/>
  <c r="C18"/>
  <c r="F65" i="67"/>
  <c r="B9" i="70"/>
  <c r="N59" i="15"/>
  <c r="M59"/>
  <c r="L59"/>
  <c r="L58"/>
  <c r="B2" i="37"/>
  <c r="B3"/>
  <c r="B8" i="70"/>
  <c r="D21" i="9"/>
  <c r="D102"/>
  <c r="F66" i="15"/>
  <c r="F50"/>
  <c r="M7"/>
  <c r="Q71" i="67"/>
  <c r="B13" i="70"/>
  <c r="B2" i="36"/>
  <c r="B3"/>
  <c r="F50" i="67"/>
  <c r="Q71" i="15"/>
  <c r="F64"/>
  <c r="F63" i="67"/>
  <c r="C62"/>
  <c r="J20"/>
  <c r="F70"/>
  <c r="F68"/>
  <c r="F51" i="15"/>
  <c r="C49"/>
  <c r="D103" i="9"/>
  <c r="B12" i="70"/>
  <c r="F64" i="67"/>
  <c r="C34" i="15"/>
  <c r="F63"/>
  <c r="C62"/>
  <c r="F71"/>
  <c r="B6" i="70"/>
  <c r="B2" i="21"/>
  <c r="B3"/>
  <c r="J20" i="15"/>
  <c r="B7" i="70"/>
  <c r="F68" i="15"/>
  <c r="B2" i="34"/>
  <c r="B3"/>
  <c r="J53" i="15"/>
  <c r="L56"/>
  <c r="J57"/>
  <c r="J55"/>
  <c r="J58"/>
  <c r="Q50"/>
  <c r="I54"/>
  <c r="Q50" i="67"/>
  <c r="L56"/>
  <c r="I54"/>
  <c r="C38" i="69"/>
  <c r="C35"/>
  <c r="C20" i="68"/>
  <c r="C28"/>
  <c r="C27"/>
  <c r="C16" i="12"/>
  <c r="D19" i="69"/>
  <c r="C18" i="12"/>
  <c r="F59" i="15"/>
  <c r="F59" i="67"/>
  <c r="M17" i="15"/>
  <c r="M17" i="67"/>
  <c r="C17" i="15"/>
  <c r="C16"/>
  <c r="C33" i="68"/>
  <c r="C39"/>
  <c r="C46"/>
  <c r="C45"/>
  <c r="C19" i="15"/>
  <c r="C19" i="69"/>
  <c r="D37"/>
  <c r="C37"/>
  <c r="C33"/>
  <c r="Q61" i="67"/>
  <c r="Q74"/>
  <c r="Q60"/>
  <c r="Q73"/>
  <c r="Q74" i="15"/>
  <c r="Q61"/>
  <c r="C49" i="67"/>
  <c r="M11" i="15"/>
  <c r="F11"/>
  <c r="M28" i="43"/>
  <c r="O28"/>
  <c r="P28"/>
  <c r="N28"/>
  <c r="B3" i="76"/>
  <c r="C32" i="15"/>
  <c r="C21" i="12"/>
  <c r="Q52" i="67"/>
  <c r="Q52" i="15"/>
  <c r="F1"/>
  <c r="B2" i="70"/>
  <c r="B3"/>
  <c r="J18" i="67"/>
  <c r="Q60" i="15"/>
  <c r="Q73"/>
  <c r="J6"/>
  <c r="C39" i="69"/>
  <c r="C46"/>
  <c r="C45"/>
  <c r="J10" i="15"/>
  <c r="J18"/>
  <c r="J5"/>
  <c r="J24" i="67"/>
  <c r="C22" i="12"/>
  <c r="C30"/>
  <c r="C28"/>
  <c r="C53" i="15"/>
  <c r="C48"/>
  <c r="C10"/>
  <c r="C5"/>
  <c r="C53" i="67"/>
  <c r="C48"/>
  <c r="C20" i="69"/>
  <c r="C28"/>
  <c r="C27"/>
  <c r="F22" i="68"/>
  <c r="F25" i="12"/>
  <c r="C26"/>
  <c r="D25"/>
  <c r="F24" i="15"/>
  <c r="C24"/>
  <c r="F22" i="69"/>
  <c r="F22" i="11"/>
  <c r="C20" i="15"/>
  <c r="C25" i="69"/>
  <c r="C66" i="67"/>
  <c r="C60"/>
  <c r="C23" i="15"/>
  <c r="C26"/>
  <c r="C29"/>
  <c r="C44" i="69"/>
  <c r="D41"/>
  <c r="C26"/>
  <c r="D22"/>
  <c r="C23"/>
  <c r="C23" i="68"/>
  <c r="C44"/>
  <c r="D41"/>
  <c r="C26"/>
  <c r="D22"/>
  <c r="C24"/>
  <c r="C42"/>
  <c r="C25"/>
  <c r="C43"/>
  <c r="C24" i="69"/>
  <c r="C60" i="15"/>
  <c r="C66"/>
  <c r="C43" i="69"/>
  <c r="C42"/>
  <c r="C44" i="11"/>
  <c r="D41"/>
  <c r="C26"/>
  <c r="D22"/>
  <c r="C23"/>
  <c r="C43"/>
  <c r="C42"/>
  <c r="C25"/>
  <c r="C24"/>
  <c r="C38" i="15"/>
  <c r="C27" i="12"/>
  <c r="C25"/>
  <c r="C32"/>
  <c r="B2"/>
  <c r="B3"/>
  <c r="J26" i="15"/>
  <c r="J29"/>
  <c r="J24"/>
  <c r="C41" i="11"/>
  <c r="C49"/>
  <c r="C51"/>
  <c r="Q49" i="15"/>
  <c r="J14"/>
  <c r="C36"/>
  <c r="C33"/>
  <c r="C31"/>
  <c r="C57"/>
  <c r="J19"/>
  <c r="J17"/>
  <c r="C13"/>
  <c r="J59"/>
  <c r="J60"/>
  <c r="C41" i="69"/>
  <c r="C49"/>
  <c r="C51"/>
  <c r="C22"/>
  <c r="C31"/>
  <c r="C52"/>
  <c r="B2"/>
  <c r="B3"/>
  <c r="J19" i="67"/>
  <c r="J17"/>
  <c r="C57"/>
  <c r="Q49"/>
  <c r="J14"/>
  <c r="C22" i="11"/>
  <c r="C31"/>
  <c r="C52"/>
  <c r="B2"/>
  <c r="B3"/>
  <c r="C41" i="68"/>
  <c r="C49"/>
  <c r="C51"/>
  <c r="C22"/>
  <c r="C31"/>
  <c r="C52"/>
  <c r="B2"/>
  <c r="B3"/>
  <c r="Q48" i="15"/>
  <c r="C37"/>
  <c r="C30"/>
  <c r="C39"/>
  <c r="L51"/>
  <c r="L57"/>
  <c r="L60"/>
  <c r="L46"/>
  <c r="J22"/>
  <c r="J13"/>
  <c r="J23"/>
  <c r="Q48" i="67"/>
  <c r="C64"/>
  <c r="C61"/>
  <c r="C59"/>
  <c r="C56" i="11"/>
  <c r="C57"/>
  <c r="J13" i="67"/>
  <c r="J23"/>
  <c r="J22"/>
  <c r="C56"/>
  <c r="C65"/>
  <c r="Q70"/>
  <c r="C57" i="69"/>
  <c r="C56"/>
  <c r="Q70" i="15"/>
  <c r="C75"/>
  <c r="C56"/>
  <c r="C65"/>
  <c r="C64"/>
  <c r="C61"/>
  <c r="C59"/>
  <c r="C58"/>
  <c r="C67"/>
  <c r="C68"/>
  <c r="C57" i="68"/>
  <c r="C56"/>
  <c r="J16" i="67"/>
  <c r="J25"/>
  <c r="J16" i="15"/>
  <c r="J25"/>
  <c r="Q69"/>
  <c r="Q68"/>
  <c r="C40"/>
  <c r="Q69" i="67"/>
  <c r="Q68"/>
  <c r="C71" i="15"/>
  <c r="C80"/>
  <c r="C79"/>
  <c r="C58" i="67"/>
  <c r="C67"/>
  <c r="C68"/>
  <c r="Q67"/>
  <c r="Q67" i="15"/>
  <c r="B2"/>
  <c r="B3"/>
  <c r="Q65"/>
  <c r="Q47"/>
  <c r="Q53"/>
  <c r="Q56"/>
  <c r="C43"/>
  <c r="C83"/>
  <c r="C82"/>
  <c r="C45" i="67"/>
  <c r="C46"/>
  <c r="C71"/>
  <c r="C46" i="15"/>
  <c r="Q56" i="67"/>
  <c r="C43"/>
  <c r="Q47"/>
  <c r="Q53"/>
  <c r="Q65"/>
  <c r="C83"/>
  <c r="C82"/>
  <c r="Q66" i="15"/>
  <c r="Q75"/>
  <c r="Q57"/>
  <c r="Q62"/>
  <c r="Q66" i="67"/>
  <c r="Q57"/>
  <c r="Q62"/>
  <c r="Q75"/>
  <c r="D113" i="43"/>
  <c r="B2" i="33"/>
  <c r="C19" i="9"/>
  <c r="G19"/>
  <c r="C32"/>
  <c r="H118"/>
  <c r="H101"/>
  <c r="H107"/>
  <c r="M49"/>
  <c r="D45"/>
  <c r="D55"/>
  <c r="M53"/>
  <c r="C85"/>
  <c r="C93"/>
  <c r="C86"/>
  <c r="C95"/>
  <c r="C96"/>
  <c r="C97"/>
  <c r="D58"/>
  <c r="D56"/>
  <c r="M54"/>
  <c r="N57"/>
  <c r="N59"/>
  <c r="N60"/>
  <c r="N61"/>
  <c r="P57"/>
  <c r="N58"/>
  <c r="D122"/>
  <c r="B6" i="74"/>
  <c r="C6"/>
  <c r="D6"/>
  <c r="E96" i="9"/>
  <c r="E97"/>
  <c r="C72"/>
  <c r="C78"/>
  <c r="C73"/>
  <c r="C79"/>
  <c r="C80"/>
  <c r="E80"/>
  <c r="E81"/>
  <c r="C81"/>
  <c r="D13" i="53"/>
  <c r="B30" i="72"/>
  <c r="D14" i="53"/>
  <c r="B32" i="72"/>
  <c r="D8" i="52"/>
  <c r="D123" i="9"/>
  <c r="D9" i="52"/>
  <c r="H108" i="9"/>
  <c r="D15" i="53"/>
  <c r="B31" i="72"/>
  <c r="B5" i="74"/>
  <c r="C5"/>
  <c r="D5"/>
  <c r="D5" i="53"/>
  <c r="D6"/>
  <c r="B22" i="72"/>
  <c r="B20"/>
  <c r="D53" i="9"/>
  <c r="D52"/>
  <c r="C64"/>
  <c r="C63"/>
  <c r="C67"/>
  <c r="C68"/>
  <c r="D54"/>
  <c r="I118"/>
  <c r="I4" i="52"/>
  <c r="C35" i="9"/>
  <c r="F118"/>
  <c r="G118"/>
  <c r="E118"/>
  <c r="E4" i="52"/>
  <c r="B48" i="72"/>
  <c r="H102" i="9"/>
  <c r="D7" i="53"/>
  <c r="B21" i="72"/>
  <c r="C105" i="9"/>
  <c r="F14" i="74"/>
  <c r="E14"/>
  <c r="M48" i="9"/>
  <c r="F119"/>
  <c r="F5" i="52"/>
  <c r="B53" i="72"/>
  <c r="F4" i="52"/>
  <c r="B51" i="72"/>
  <c r="G4" i="52"/>
  <c r="B52" i="72"/>
  <c r="C34" i="9"/>
  <c r="D118"/>
  <c r="D119"/>
  <c r="D5" i="52"/>
  <c r="B49" i="72"/>
  <c r="C104" i="9"/>
  <c r="H4" i="52"/>
  <c r="H119" i="9"/>
  <c r="H5" i="52"/>
  <c r="D4"/>
  <c r="B47" i="72"/>
  <c r="G21" i="9"/>
  <c r="C102"/>
  <c r="C21"/>
  <c r="D22"/>
  <c r="C103"/>
  <c r="E48" i="33"/>
  <c r="E52"/>
  <c r="F52"/>
  <c r="G48"/>
  <c r="E53"/>
  <c r="F53"/>
  <c r="C48"/>
  <c r="I48"/>
  <c r="I53"/>
  <c r="J53"/>
  <c r="I52"/>
  <c r="J52"/>
  <c r="G53"/>
  <c r="H53"/>
  <c r="G52"/>
  <c r="H52"/>
  <c r="L63" i="9"/>
  <c r="M63"/>
  <c r="L64"/>
  <c r="M64"/>
  <c r="L65"/>
  <c r="M65"/>
  <c r="L66"/>
  <c r="M66"/>
  <c r="L67"/>
  <c r="M67"/>
  <c r="L68"/>
  <c r="M68"/>
  <c r="M69"/>
  <c r="N69"/>
  <c r="E54" i="33"/>
  <c r="F54"/>
  <c r="G54"/>
  <c r="H54"/>
  <c r="I54"/>
  <c r="J54"/>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<sst xmlns="http://schemas.openxmlformats.org/spreadsheetml/2006/main" count="8128" uniqueCount="3131">
  <si>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</si>
  <si>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</si>
  <si>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</si>
  <si>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</si>
  <si>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</si>
  <si>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</si>
  <si>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</si>
  <si>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</si>
  <si>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</si>
  <si>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</si>
  <si>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</si>
  <si>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</si>
  <si>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</si>
  <si>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</si>
  <si>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</si>
  <si>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</si>
  <si>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</si>
  <si>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</si>
  <si>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</si>
  <si>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</si>
  <si>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</si>
  <si>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</si>
  <si>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</si>
  <si>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</si>
  <si>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</si>
  <si>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</si>
  <si>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</si>
  <si>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</si>
  <si>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</si>
  <si>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</si>
  <si>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</si>
  <si>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</si>
  <si>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</si>
  <si>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</si>
  <si>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</si>
  <si>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</si>
  <si>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</si>
  <si>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</si>
  <si>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</si>
  <si>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</si>
  <si>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</si>
  <si>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</si>
  <si>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</si>
  <si>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</si>
  <si>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</si>
  <si>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</si>
  <si>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</si>
  <si>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</si>
  <si>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</si>
  <si>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</si>
  <si>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</si>
  <si>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</si>
  <si>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</si>
  <si>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</si>
  <si>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</si>
  <si>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</si>
  <si>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</si>
  <si>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</si>
  <si>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</si>
  <si>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</si>
  <si>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</si>
  <si>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</si>
  <si>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</si>
  <si>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</si>
  <si>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</si>
  <si>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</si>
  <si>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</si>
  <si>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</si>
  <si>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</si>
  <si>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</si>
  <si>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</si>
  <si>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</si>
  <si>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</si>
  <si>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</si>
  <si>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</si>
  <si>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</si>
  <si>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</si>
  <si>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</si>
  <si>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</si>
  <si>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</si>
  <si>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</si>
  <si>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</si>
  <si>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</si>
  <si>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</si>
  <si>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</si>
  <si>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</si>
  <si>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</si>
  <si>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</si>
  <si>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</si>
  <si>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</si>
  <si>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</si>
  <si>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</si>
  <si>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</si>
  <si>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</si>
  <si>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</si>
  <si>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</si>
  <si>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</si>
  <si>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</si>
  <si>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</si>
  <si>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</si>
  <si>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</si>
  <si>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</si>
  <si>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</si>
  <si>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</si>
  <si>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</si>
  <si>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</si>
  <si>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</si>
  <si>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</si>
  <si>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</si>
  <si>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</si>
  <si>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</si>
  <si>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</si>
  <si>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</si>
  <si>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</si>
  <si>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</si>
  <si>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</si>
  <si>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</si>
  <si>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</si>
  <si>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</si>
  <si>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</si>
  <si>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</si>
  <si>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</si>
  <si>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</si>
  <si>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</si>
  <si>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</si>
  <si>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</si>
  <si>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</si>
  <si>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</si>
  <si>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</si>
  <si>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</si>
  <si>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</si>
  <si>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</si>
  <si>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</si>
  <si>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</si>
  <si>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</si>
  <si>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</si>
  <si>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</si>
  <si>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</si>
  <si>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</si>
  <si>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</si>
  <si>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</si>
  <si>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</si>
  <si>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</si>
  <si>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</si>
  <si>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</si>
  <si>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</si>
  <si>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</si>
  <si>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</si>
  <si>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</si>
  <si>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</si>
  <si>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</si>
  <si>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</si>
  <si>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</si>
  <si>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</si>
  <si>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</si>
  <si>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</si>
  <si>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</si>
  <si>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</si>
  <si>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</si>
  <si>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</si>
  <si>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</si>
  <si>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</si>
  <si>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</si>
  <si>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</si>
  <si>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</si>
  <si>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</si>
  <si>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</si>
  <si>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</si>
  <si>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</si>
  <si>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</si>
  <si>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</si>
  <si>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</si>
  <si>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</si>
  <si>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</si>
  <si>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</si>
  <si>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</si>
  <si>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</si>
  <si>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</si>
  <si>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</si>
  <si>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</si>
  <si>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</si>
  <si>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</si>
  <si>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</si>
  <si>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</si>
  <si>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</si>
  <si>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</si>
  <si>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</si>
  <si>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</si>
  <si>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</si>
  <si>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</si>
  <si>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</si>
  <si>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</si>
  <si>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</si>
  <si>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</si>
  <si>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</si>
  <si>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</si>
  <si>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</si>
  <si>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</si>
  <si>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</si>
  <si>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</si>
  <si>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</si>
  <si>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</si>
  <si>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</si>
  <si>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</si>
  <si>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</si>
  <si>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</si>
  <si>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</si>
  <si>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</si>
  <si>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</si>
  <si>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</si>
  <si>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</si>
  <si>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</si>
  <si>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</si>
  <si>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</si>
  <si>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</si>
  <si>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</si>
  <si>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</si>
  <si>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</si>
  <si>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</si>
  <si>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</si>
  <si>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</si>
  <si>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</si>
  <si>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</si>
  <si>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</si>
  <si>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</si>
  <si>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</si>
  <si>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</si>
  <si>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</si>
  <si>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</si>
  <si>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</si>
  <si>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</si>
  <si>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</si>
  <si>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</si>
  <si>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</si>
  <si>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</si>
  <si>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</si>
  <si>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</si>
  <si>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</si>
  <si>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</si>
  <si>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</si>
  <si>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</si>
  <si>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</si>
  <si>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</si>
  <si>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</si>
  <si>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</si>
  <si>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</si>
  <si>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</si>
  <si>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</si>
  <si>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</si>
  <si>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</si>
  <si>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</si>
  <si>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</si>
  <si>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</si>
  <si>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</si>
  <si>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</si>
  <si>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</si>
  <si>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</si>
  <si>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</si>
  <si>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</si>
  <si>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</si>
  <si>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</si>
  <si>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</si>
  <si>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</si>
  <si>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</si>
  <si>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</si>
  <si>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</si>
  <si>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</si>
  <si>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</si>
  <si>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</si>
  <si>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</si>
  <si>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</si>
  <si>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</si>
  <si>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</si>
  <si>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</si>
  <si>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</si>
  <si>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</si>
  <si>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</si>
  <si>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</si>
  <si>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</si>
  <si>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</si>
  <si>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</si>
  <si>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</si>
  <si>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</si>
  <si>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</si>
  <si>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</si>
  <si>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</si>
  <si>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</si>
  <si>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</si>
  <si>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</si>
  <si>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</si>
  <si>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</si>
  <si>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</si>
  <si>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</si>
  <si>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</si>
  <si>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</si>
  <si>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</si>
  <si>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</si>
  <si>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</si>
  <si>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</si>
  <si>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</si>
  <si>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</si>
  <si>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</si>
  <si>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</si>
  <si>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</si>
  <si>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</si>
  <si>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</si>
  <si>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</si>
  <si>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</si>
  <si>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</si>
  <si>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</si>
  <si>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</si>
  <si>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</si>
  <si>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</si>
  <si>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</si>
  <si>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</si>
  <si>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</si>
  <si>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</si>
  <si>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</si>
  <si>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</si>
  <si>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</si>
  <si>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</si>
  <si>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</si>
  <si>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</si>
  <si>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</si>
  <si>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</si>
  <si>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</si>
  <si>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</si>
  <si>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</si>
  <si>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</si>
  <si>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</si>
  <si>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</si>
  <si>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</si>
  <si>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</si>
  <si>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</si>
  <si>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</si>
  <si>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</si>
  <si>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</si>
  <si>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</si>
  <si>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</si>
  <si>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</si>
  <si>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</si>
  <si>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</si>
  <si>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</si>
  <si>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</si>
  <si>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</si>
  <si>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</si>
  <si>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</si>
  <si>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</si>
  <si>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</si>
  <si>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</si>
  <si>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</si>
  <si>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</si>
  <si>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</si>
  <si>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</si>
  <si>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</si>
  <si>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</si>
  <si>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</si>
  <si>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</si>
  <si>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</si>
  <si>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</si>
  <si>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</si>
  <si>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</si>
  <si>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</si>
  <si>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</si>
  <si>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</si>
  <si>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</si>
  <si>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</si>
  <si>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</si>
  <si>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</si>
  <si>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</si>
  <si>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</si>
  <si>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</si>
  <si>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</si>
  <si>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</si>
  <si>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</si>
  <si>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</si>
  <si>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</si>
  <si>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</si>
  <si>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</si>
  <si>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</si>
  <si>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</si>
  <si>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</si>
  <si>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</si>
  <si>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</si>
  <si>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</si>
  <si>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</si>
  <si>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</si>
  <si>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</si>
  <si>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</si>
  <si>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</si>
  <si>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</si>
  <si>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</si>
  <si>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</si>
  <si>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</si>
  <si>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</si>
  <si>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</si>
  <si>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</si>
  <si>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</si>
  <si>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</si>
  <si>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</si>
  <si>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</si>
  <si>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</si>
  <si>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</si>
  <si>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</si>
  <si>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</si>
  <si>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</si>
  <si>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</si>
  <si>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</si>
  <si>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</si>
  <si>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</si>
  <si>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</si>
  <si>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</si>
  <si>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</si>
  <si>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</si>
  <si>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</si>
  <si>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</si>
  <si>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</si>
  <si>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</si>
  <si>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</si>
  <si>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</si>
  <si>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</si>
  <si>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</si>
  <si>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</si>
  <si>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</si>
  <si>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</si>
  <si>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</si>
  <si>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</si>
  <si>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</si>
  <si>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</si>
  <si>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</si>
  <si>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</si>
  <si>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</si>
  <si>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</si>
  <si>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</si>
  <si>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</si>
  <si>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</si>
  <si>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</si>
  <si>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</si>
  <si>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</si>
  <si>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</si>
  <si>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</si>
  <si>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</si>
  <si>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</si>
  <si>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</si>
  <si>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</si>
  <si>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</si>
  <si>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</si>
  <si>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</si>
  <si>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</si>
  <si>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</si>
  <si>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</si>
  <si>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</si>
  <si>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</si>
  <si>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</si>
  <si>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</si>
  <si>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</si>
  <si>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</si>
  <si>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</si>
  <si>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</si>
  <si>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</si>
  <si>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</si>
  <si>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</si>
  <si>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</si>
  <si>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</si>
  <si>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</si>
  <si>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</si>
  <si>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</si>
  <si>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</si>
  <si>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</si>
  <si>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</si>
  <si>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</si>
  <si>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</si>
  <si>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</si>
  <si>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</si>
  <si>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</si>
  <si>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</si>
  <si>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</si>
  <si>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</si>
  <si>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</si>
  <si>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</si>
  <si>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</si>
  <si>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</si>
  <si>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</si>
  <si>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</si>
  <si>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</si>
  <si>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</si>
  <si>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</si>
  <si>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</si>
  <si>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</si>
  <si>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</si>
  <si>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</si>
  <si>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</si>
  <si>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</si>
  <si>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</si>
  <si>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</si>
  <si>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</si>
  <si>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</si>
  <si>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</si>
  <si>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</si>
  <si>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</si>
  <si>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</si>
  <si>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</si>
  <si>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</si>
  <si>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</si>
  <si>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</si>
  <si>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</si>
  <si>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</si>
  <si>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</si>
  <si>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</si>
  <si>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</si>
  <si>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</si>
  <si>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</si>
  <si>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</si>
  <si>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</si>
  <si>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</si>
  <si>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</si>
  <si>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</si>
  <si>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</si>
  <si>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</si>
  <si>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</si>
  <si>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</si>
  <si>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</si>
  <si>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</si>
  <si>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</si>
  <si>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</si>
  <si>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</si>
  <si>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</si>
  <si>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</si>
  <si>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</si>
  <si>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</si>
  <si>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</si>
  <si>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</si>
  <si>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</si>
  <si>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</si>
  <si>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</si>
  <si>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</si>
  <si>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</si>
  <si>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</si>
  <si>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</si>
  <si>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</si>
  <si>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</si>
  <si>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</si>
  <si>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</si>
  <si>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</si>
  <si>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</si>
  <si>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</si>
  <si>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</si>
  <si>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</si>
  <si>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</si>
  <si>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</si>
  <si>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</si>
  <si>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</si>
  <si>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</si>
  <si>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</si>
  <si>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</si>
  <si>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</si>
  <si>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</si>
  <si>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</si>
  <si>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</si>
  <si>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</si>
  <si>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</si>
  <si>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</si>
  <si>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</si>
  <si>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</si>
  <si>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</si>
  <si>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</si>
  <si>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</si>
  <si>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</si>
  <si>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</si>
  <si>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</si>
  <si>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</si>
  <si>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</si>
  <si>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</si>
  <si>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</si>
  <si>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</si>
  <si>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</si>
  <si>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</si>
  <si>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</si>
  <si>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</si>
  <si>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</si>
  <si>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</si>
  <si>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</si>
  <si>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</si>
  <si>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</si>
  <si>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</si>
  <si>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</si>
  <si>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</si>
  <si>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</si>
  <si>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</si>
  <si>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</si>
  <si>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</si>
  <si>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</si>
  <si>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</si>
  <si>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</si>
  <si>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</si>
  <si>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</si>
  <si>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</si>
  <si>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</si>
  <si>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</si>
  <si>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</si>
  <si>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</si>
  <si>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</si>
  <si>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</si>
  <si>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</si>
  <si>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</si>
  <si>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</si>
  <si>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</si>
  <si>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</si>
  <si>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</si>
  <si>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</si>
  <si>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</si>
  <si>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</si>
  <si>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</si>
  <si>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</si>
  <si>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</si>
  <si>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</si>
  <si>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</si>
  <si>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</si>
  <si>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</si>
  <si>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</si>
  <si>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</si>
  <si>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</si>
  <si>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</si>
  <si>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</si>
  <si>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</si>
  <si>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</si>
  <si>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</si>
  <si>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</si>
  <si>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</si>
  <si>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</si>
  <si>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</si>
  <si>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</si>
  <si>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</si>
  <si>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</si>
  <si>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</si>
  <si>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</si>
  <si>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</si>
  <si>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</si>
  <si>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</si>
  <si>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</si>
  <si>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</si>
  <si>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</si>
  <si>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</si>
  <si>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</si>
  <si>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</si>
  <si>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</si>
  <si>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</si>
  <si>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</si>
  <si>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</si>
  <si>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</si>
  <si>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</si>
  <si>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</si>
  <si>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</si>
  <si>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</si>
  <si>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</si>
  <si>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</si>
  <si>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</si>
  <si>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</si>
  <si>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</si>
  <si>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</si>
  <si>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</si>
  <si>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</si>
  <si>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</si>
  <si>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</si>
  <si>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</si>
  <si>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</si>
  <si>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</si>
  <si>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</si>
  <si>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</si>
  <si>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</si>
  <si>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</si>
  <si>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</si>
  <si>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</si>
  <si>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</si>
  <si>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</si>
  <si>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</si>
  <si>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</si>
  <si>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</si>
  <si>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</si>
  <si>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</si>
  <si>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</si>
  <si>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</si>
  <si>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</si>
  <si>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</si>
  <si>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</si>
  <si>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</si>
  <si>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</si>
  <si>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</si>
  <si>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</si>
  <si>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</si>
  <si>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</si>
  <si>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</si>
  <si>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</si>
  <si>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</si>
  <si>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</si>
  <si>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</si>
  <si>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</si>
  <si>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</si>
  <si>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</si>
  <si>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</si>
  <si>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</si>
  <si>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</si>
  <si>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</si>
  <si>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</si>
  <si>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</si>
  <si>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</si>
  <si>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</si>
  <si>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</si>
  <si>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</si>
  <si>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</si>
  <si>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</si>
  <si>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</si>
  <si>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</si>
  <si>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</si>
  <si>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</si>
  <si>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</si>
  <si>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</si>
  <si>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</si>
  <si>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</si>
  <si>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</si>
  <si>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</si>
  <si>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</si>
  <si>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</si>
  <si>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</si>
  <si>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</si>
  <si>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</si>
  <si>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</si>
  <si>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</si>
  <si>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</si>
  <si>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</si>
  <si>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</si>
  <si>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</si>
  <si>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</si>
  <si>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</si>
  <si>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</si>
  <si>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</si>
  <si>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</si>
  <si>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</si>
  <si>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</si>
  <si>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</si>
  <si>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</si>
  <si>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</si>
  <si>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</si>
  <si>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</si>
  <si>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</si>
  <si>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</si>
  <si>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</si>
  <si>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</si>
  <si>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</si>
  <si>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</si>
  <si>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</si>
  <si>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</si>
  <si>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</si>
  <si>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</si>
  <si>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</si>
  <si>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</si>
  <si>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</si>
  <si>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</si>
  <si>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</si>
  <si>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</si>
  <si>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</si>
  <si>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</si>
  <si>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</si>
  <si>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</si>
  <si>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</si>
  <si>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</si>
  <si>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</si>
  <si>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</si>
  <si>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</si>
  <si>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</si>
  <si>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</si>
  <si>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</si>
  <si>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</si>
  <si>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</si>
  <si>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</si>
  <si>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</si>
  <si>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</si>
  <si>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</si>
  <si>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</si>
  <si>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</si>
  <si>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</si>
  <si>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</si>
  <si>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</si>
  <si>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</si>
  <si>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</si>
  <si>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</si>
  <si>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</si>
  <si>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</si>
  <si>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</si>
  <si>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</si>
  <si>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</si>
  <si>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</si>
  <si>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</si>
  <si>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</si>
  <si>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</si>
  <si>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</si>
  <si>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</si>
  <si>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</si>
  <si>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</si>
  <si>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</si>
  <si>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</si>
  <si>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</si>
  <si>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</si>
  <si>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</si>
  <si>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</si>
  <si>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</si>
  <si>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</si>
  <si>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</si>
  <si>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</si>
  <si>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</si>
  <si>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</si>
  <si>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</si>
  <si>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</si>
  <si>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</si>
  <si>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</si>
  <si>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</si>
  <si>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</si>
  <si>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</si>
  <si>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</si>
  <si>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</si>
  <si>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</si>
  <si>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</si>
  <si>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</si>
  <si>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</si>
  <si>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</si>
  <si>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</si>
  <si>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</si>
  <si>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</si>
  <si>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</si>
  <si>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</si>
  <si>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</si>
  <si>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</si>
  <si>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</si>
  <si>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</si>
  <si>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</si>
  <si>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</si>
  <si>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</si>
  <si>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</si>
  <si>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</si>
  <si>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</si>
  <si>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</si>
  <si>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</si>
  <si>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</si>
  <si>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</si>
  <si>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</si>
  <si>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</si>
  <si>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</si>
  <si>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</si>
  <si>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</si>
  <si>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</si>
  <si>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</si>
  <si>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</si>
  <si>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</si>
  <si>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</si>
  <si>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</si>
  <si>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</si>
  <si>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</si>
  <si>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</si>
  <si>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</si>
  <si>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</si>
  <si>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</si>
  <si>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</si>
  <si>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</si>
  <si>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</si>
  <si>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</si>
  <si>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</si>
  <si>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</si>
  <si>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</si>
  <si>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</si>
  <si>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</si>
  <si>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</si>
  <si>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</si>
  <si>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</si>
  <si>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</si>
  <si>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</si>
  <si>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</si>
  <si>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</si>
  <si>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</si>
  <si>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</si>
  <si>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</si>
  <si>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</si>
  <si>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</si>
  <si>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</si>
  <si>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</si>
  <si>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</si>
  <si>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</si>
  <si>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</si>
  <si>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</si>
  <si>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</si>
  <si>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</si>
  <si>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</si>
  <si>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</si>
  <si>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</si>
  <si>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</si>
  <si>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</si>
  <si>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</si>
  <si>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</si>
  <si>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</si>
  <si>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</si>
  <si>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</si>
  <si>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</si>
  <si>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</si>
  <si>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</si>
  <si>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</si>
  <si>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</si>
  <si>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</si>
  <si>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</si>
  <si>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</si>
  <si>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</si>
  <si>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</si>
  <si>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</si>
  <si>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</si>
  <si>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</si>
  <si>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</si>
  <si>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</si>
  <si>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</si>
  <si>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</si>
  <si>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</si>
  <si>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</si>
  <si>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</si>
  <si>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</si>
  <si>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</si>
  <si>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</si>
  <si>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</si>
  <si>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</si>
  <si>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</si>
  <si>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</si>
  <si>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</si>
  <si>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</si>
  <si>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</si>
  <si>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</si>
  <si>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</si>
  <si>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</si>
  <si>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</si>
  <si>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</si>
  <si>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</si>
  <si>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</si>
  <si>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</si>
  <si>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</si>
  <si>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</si>
  <si>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</si>
  <si>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</si>
  <si>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</si>
  <si>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</si>
  <si>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</si>
  <si>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</si>
  <si>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</si>
  <si>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</si>
  <si>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</si>
  <si>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</si>
  <si>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</si>
  <si>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</si>
  <si>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</si>
  <si>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</si>
  <si>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</si>
  <si>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</si>
  <si>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</si>
  <si>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</si>
  <si>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</si>
  <si>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</si>
  <si>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</si>
  <si>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</si>
  <si>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</si>
  <si>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</si>
  <si>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</si>
  <si>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</si>
  <si>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</si>
  <si>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</si>
  <si>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</si>
  <si>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</si>
  <si>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</si>
  <si>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</si>
  <si>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</si>
  <si>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</si>
  <si>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</si>
  <si>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</si>
  <si>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</si>
  <si>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</si>
  <si>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</si>
  <si>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</si>
  <si>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</si>
  <si>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</si>
  <si>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</si>
  <si>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</si>
  <si>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</si>
  <si>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</si>
  <si>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</si>
  <si>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</si>
  <si>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</si>
  <si>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</si>
  <si>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</si>
  <si>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</si>
  <si>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</si>
  <si>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</si>
  <si>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</si>
  <si>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</si>
  <si>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</si>
  <si>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</si>
  <si>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</si>
  <si>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</si>
  <si>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</si>
  <si>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</si>
  <si>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</si>
  <si>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</si>
  <si>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</si>
  <si>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</si>
  <si>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</si>
  <si>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</si>
  <si>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</si>
  <si>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</si>
  <si>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</si>
  <si>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</si>
  <si>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</si>
  <si>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</si>
  <si>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</si>
  <si>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</si>
  <si>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</si>
  <si>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</si>
  <si>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</si>
  <si>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</si>
  <si>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</si>
  <si>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</si>
  <si>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</si>
  <si>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</si>
  <si>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</si>
  <si>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</si>
  <si>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</si>
  <si>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</si>
  <si>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</si>
  <si>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</si>
  <si>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</si>
  <si>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</si>
  <si>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</si>
  <si>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</si>
  <si>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</si>
  <si>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</si>
  <si>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</si>
  <si>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</si>
  <si>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</si>
  <si>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</si>
  <si>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</si>
  <si>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</si>
  <si>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</si>
  <si>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</si>
  <si>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</si>
  <si>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</si>
  <si>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</si>
  <si>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</si>
  <si>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</si>
  <si>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</si>
  <si>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</si>
  <si>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</si>
  <si>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</si>
  <si>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</si>
  <si>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</si>
  <si>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</si>
  <si>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</si>
  <si>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</si>
  <si>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</si>
  <si>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</si>
  <si>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</si>
  <si>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</si>
  <si>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</si>
  <si>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</si>
  <si>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</si>
  <si>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</si>
  <si>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</si>
  <si>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</si>
  <si>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</si>
  <si>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</si>
  <si>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</si>
  <si>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</si>
  <si>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</si>
  <si>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</si>
  <si>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</si>
  <si>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</si>
  <si>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</si>
  <si>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</si>
  <si>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</si>
  <si>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</si>
  <si>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</si>
  <si>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</si>
  <si>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</si>
  <si>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</si>
  <si>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</si>
  <si>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</si>
  <si>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</si>
  <si>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</si>
  <si>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</si>
  <si>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</si>
  <si>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</si>
  <si>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</si>
  <si>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</si>
  <si>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</si>
  <si>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</si>
  <si>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</si>
  <si>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</si>
  <si>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</si>
  <si>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</si>
  <si>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</si>
  <si>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</si>
  <si>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</si>
  <si>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</si>
  <si>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</si>
  <si>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</si>
  <si>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</si>
  <si>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</si>
  <si>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</si>
  <si>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</si>
  <si>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</si>
  <si>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</si>
  <si>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</si>
  <si>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</si>
  <si>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</si>
  <si>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</si>
  <si>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</si>
  <si>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</si>
  <si>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</si>
  <si>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</si>
  <si>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</si>
  <si>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</si>
  <si>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</si>
  <si>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</si>
  <si>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</si>
  <si>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</si>
  <si>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</si>
  <si>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</si>
  <si>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</si>
  <si>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</si>
  <si>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</si>
  <si>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</si>
  <si>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</si>
  <si>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</si>
  <si>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</si>
  <si>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</si>
  <si>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</si>
  <si>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</si>
  <si>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</si>
  <si>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</si>
  <si>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</si>
  <si>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</si>
  <si>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</si>
  <si>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</si>
  <si>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</si>
  <si>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</si>
  <si>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</si>
  <si>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</si>
  <si>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</si>
  <si>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</si>
  <si>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</si>
  <si>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</si>
  <si>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</si>
  <si>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</si>
  <si>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</si>
  <si>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</si>
  <si>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</si>
  <si>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</si>
  <si>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</si>
  <si>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</si>
  <si>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</si>
  <si>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</si>
  <si>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</si>
  <si>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</si>
  <si>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</si>
  <si>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</si>
  <si>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</si>
  <si>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</si>
  <si>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</si>
  <si>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</si>
  <si>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</si>
  <si>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</si>
  <si>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</si>
  <si>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</si>
  <si>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</si>
  <si>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</si>
  <si>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</si>
  <si>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</si>
  <si>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</si>
  <si>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</si>
  <si>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</si>
  <si>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</si>
  <si>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</si>
  <si>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</si>
  <si>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</si>
  <si>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</si>
  <si>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</si>
  <si>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</si>
  <si>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</si>
  <si>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</si>
  <si>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</si>
  <si>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</si>
  <si>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</si>
  <si>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</si>
  <si>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</si>
  <si>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</si>
  <si>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</si>
  <si>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</si>
  <si>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</si>
  <si>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</si>
  <si>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</si>
  <si>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</si>
  <si>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</si>
  <si>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</si>
  <si>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</si>
  <si>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</si>
  <si>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</si>
  <si>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</si>
  <si>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</si>
  <si>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</si>
  <si>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</si>
  <si>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</si>
  <si>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</si>
  <si>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</si>
  <si>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</si>
  <si>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</si>
  <si>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</si>
  <si>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</si>
  <si>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</si>
  <si>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</si>
  <si>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</si>
  <si>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</si>
  <si>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</si>
  <si>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</si>
  <si>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</si>
  <si>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</si>
  <si>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</si>
  <si>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</si>
  <si>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</si>
  <si>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</si>
  <si>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</si>
  <si>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</si>
  <si>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</si>
  <si>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</si>
  <si>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</si>
  <si>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</si>
  <si>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</si>
  <si>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</si>
  <si>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</si>
  <si>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</si>
  <si>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</si>
  <si>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</si>
  <si>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</si>
  <si>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</si>
  <si>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</si>
  <si>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</si>
  <si>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</si>
  <si>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</si>
  <si>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</si>
  <si>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</si>
  <si>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</si>
  <si>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</si>
  <si>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</si>
  <si>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</si>
  <si>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</si>
  <si>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</si>
  <si>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</si>
  <si>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</si>
  <si>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</si>
  <si>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</si>
  <si>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</si>
  <si>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</si>
  <si>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</si>
  <si>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</si>
  <si>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</si>
  <si>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</si>
  <si>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</si>
  <si>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</si>
  <si>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</si>
  <si>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</si>
  <si>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</si>
  <si>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</si>
  <si>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</si>
  <si>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</si>
  <si>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</si>
  <si>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</si>
  <si>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</si>
  <si>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</si>
  <si>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</si>
  <si>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</si>
  <si>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</si>
  <si>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</si>
  <si>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</si>
  <si>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</si>
  <si>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</si>
  <si>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</si>
  <si>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</si>
  <si>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</si>
  <si>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</si>
  <si>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</si>
  <si>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</si>
  <si>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</si>
  <si>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</si>
  <si>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</si>
  <si>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</si>
  <si>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</si>
  <si>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</si>
  <si>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</si>
  <si>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</si>
  <si>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</si>
  <si>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</si>
  <si>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</si>
  <si>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</si>
  <si>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</si>
  <si>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</si>
  <si>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</si>
  <si>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</si>
  <si>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</si>
  <si>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</si>
  <si>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</si>
  <si>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</si>
  <si>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</si>
  <si>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</si>
  <si>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</si>
  <si>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</si>
  <si>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</si>
  <si>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</si>
  <si>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</si>
  <si>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</si>
  <si>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</si>
  <si>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</si>
  <si>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</si>
  <si>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</si>
  <si>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</si>
  <si>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</si>
  <si>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</si>
  <si>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</si>
  <si>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</si>
  <si>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</si>
  <si>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</si>
  <si>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</si>
  <si>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</si>
  <si>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</si>
  <si>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</si>
  <si>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</si>
  <si>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</si>
  <si>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</si>
  <si>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</si>
  <si>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</si>
  <si>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</si>
  <si>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</si>
  <si>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</si>
  <si>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</si>
  <si>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</si>
  <si>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</si>
  <si>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</si>
  <si>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</si>
  <si>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</si>
  <si>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</si>
  <si>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</si>
  <si>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</si>
  <si>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</si>
  <si>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</si>
  <si>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</si>
  <si>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</si>
  <si>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</si>
  <si>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</si>
  <si>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</si>
  <si>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</si>
  <si>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</si>
  <si>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</si>
  <si>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</si>
  <si>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</si>
  <si>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</si>
  <si>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</si>
  <si>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</si>
  <si>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</si>
  <si>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</si>
  <si>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</si>
  <si>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</si>
  <si>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</si>
  <si>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</si>
  <si>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</si>
  <si>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</si>
  <si>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</si>
  <si>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</si>
  <si>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</si>
  <si>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</si>
  <si>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</si>
  <si>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</si>
  <si>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</si>
  <si>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</si>
  <si>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</si>
  <si>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</si>
  <si>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</si>
  <si>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</si>
  <si>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</si>
  <si>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</si>
  <si>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</si>
  <si>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</si>
  <si>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</si>
  <si>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</si>
  <si>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</si>
  <si>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</si>
  <si>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</si>
  <si>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</si>
  <si>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</si>
  <si>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</si>
  <si>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</si>
  <si>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</si>
  <si>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</si>
  <si>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</si>
  <si>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</si>
  <si>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</si>
  <si>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</si>
  <si>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</si>
  <si>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</si>
  <si>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</si>
  <si>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</si>
  <si>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</si>
  <si>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</si>
  <si>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</si>
  <si>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</si>
  <si>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</si>
  <si>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</si>
  <si>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</si>
  <si>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</si>
  <si>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</si>
  <si>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</si>
  <si>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</si>
  <si>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</si>
  <si>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</si>
  <si>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</si>
  <si>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</si>
  <si>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</si>
  <si>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</si>
  <si>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</si>
  <si>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</si>
  <si>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</si>
  <si>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</si>
  <si>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</si>
  <si>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</si>
  <si>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</si>
  <si>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</si>
  <si>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</si>
  <si>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</si>
  <si>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</si>
  <si>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</si>
  <si>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</si>
  <si>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</si>
  <si>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</si>
  <si>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</si>
  <si>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</si>
  <si>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</si>
  <si>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</si>
  <si>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</si>
  <si>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</si>
  <si>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</si>
  <si>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</si>
  <si>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</si>
  <si>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</si>
  <si>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</si>
  <si>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</si>
  <si>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</si>
  <si>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</si>
  <si>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</si>
  <si>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</si>
  <si>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</si>
  <si>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</si>
  <si>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</si>
  <si>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</si>
  <si>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</si>
  <si>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</si>
  <si>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</si>
  <si>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</si>
  <si>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</si>
  <si>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</si>
  <si>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</si>
  <si>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</si>
  <si>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</si>
  <si>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</si>
  <si>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</si>
  <si>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</si>
  <si>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</si>
  <si>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</si>
  <si>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</si>
  <si>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</si>
  <si>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</si>
  <si>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</si>
  <si>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</si>
  <si>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</si>
  <si>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</si>
  <si>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</si>
  <si>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</si>
  <si>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</si>
  <si>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</si>
  <si>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</si>
  <si>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</si>
  <si>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</si>
  <si>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</si>
  <si>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</si>
  <si>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</si>
  <si>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</si>
  <si>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</si>
  <si>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</si>
  <si>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</si>
  <si>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</si>
  <si>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</si>
  <si>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</si>
  <si>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</si>
  <si>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</si>
  <si>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</si>
  <si>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</si>
  <si>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</si>
  <si>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</si>
  <si>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</si>
  <si>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</si>
  <si>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</si>
  <si>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</si>
  <si>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</si>
  <si>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</si>
  <si>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</si>
  <si>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</si>
  <si>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</si>
  <si>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</si>
  <si>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</si>
  <si>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</si>
  <si>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</si>
  <si>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</si>
  <si>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</si>
  <si>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</si>
  <si>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</si>
  <si>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</si>
  <si>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</si>
  <si>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</si>
  <si>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</si>
  <si>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</si>
  <si>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</si>
  <si>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</si>
  <si>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</si>
  <si>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</si>
  <si>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</si>
  <si>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</si>
  <si>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</si>
  <si>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</si>
  <si>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</si>
  <si>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</si>
  <si>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</si>
  <si>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</si>
  <si>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</si>
  <si>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</si>
  <si>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</si>
  <si>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</si>
  <si>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</si>
  <si>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</si>
  <si>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</si>
  <si>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</si>
  <si>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</si>
  <si>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</si>
  <si>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</si>
  <si>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</si>
  <si>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</si>
  <si>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</si>
  <si>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</si>
  <si>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</si>
  <si>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</si>
  <si>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</si>
  <si>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</si>
  <si>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</si>
  <si>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</si>
  <si>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</si>
  <si>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</si>
  <si>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</si>
  <si>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</si>
  <si>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</si>
  <si>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</si>
  <si>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</si>
  <si>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</si>
  <si>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</si>
  <si>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</si>
  <si>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</si>
  <si>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</si>
  <si>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</si>
  <si>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</si>
  <si>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</si>
  <si>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</si>
  <si>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</si>
  <si>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</si>
  <si>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</si>
  <si>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</si>
  <si>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</si>
  <si>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</si>
  <si>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</si>
  <si>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</si>
  <si>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</si>
  <si>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</si>
  <si>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</si>
  <si>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</si>
  <si>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</si>
  <si>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</si>
  <si>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</si>
  <si>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</si>
  <si>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</si>
  <si>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</si>
  <si>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</si>
  <si>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</si>
  <si>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</si>
  <si>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</si>
  <si>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</si>
  <si>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</si>
  <si>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</si>
  <si>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</si>
  <si>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</si>
  <si>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</si>
  <si>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</si>
  <si>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</si>
  <si>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</si>
  <si>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</si>
  <si>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</si>
  <si>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</si>
  <si>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</si>
  <si>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</si>
  <si>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</si>
  <si>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</si>
  <si>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</si>
  <si>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</si>
  <si>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</si>
  <si>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</si>
  <si>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</si>
  <si>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</si>
  <si>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</si>
  <si>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</si>
  <si>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</si>
  <si>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</si>
  <si>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</si>
  <si>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</si>
  <si>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</si>
  <si>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</si>
  <si>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</si>
  <si>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</si>
  <si>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</si>
  <si>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</si>
  <si>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</si>
  <si>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</si>
  <si>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</si>
  <si>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</si>
  <si>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</si>
  <si>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</si>
  <si>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</si>
  <si>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</si>
  <si>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</si>
  <si>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</si>
  <si>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</si>
  <si>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</si>
  <si>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</si>
  <si>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</si>
  <si>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</si>
  <si>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</si>
  <si>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</si>
  <si>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</si>
  <si>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</si>
  <si>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</si>
  <si>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</si>
  <si>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</si>
  <si>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</si>
  <si>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</si>
  <si>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</si>
  <si>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</si>
  <si>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</si>
  <si>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</si>
  <si>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</si>
  <si>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</si>
  <si>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</si>
  <si>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</si>
  <si>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</si>
  <si>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</si>
  <si>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</si>
  <si>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</si>
  <si>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</si>
  <si>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</si>
  <si>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</si>
  <si>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</si>
  <si>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</si>
  <si>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</si>
  <si>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</si>
  <si>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</si>
  <si>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</si>
  <si>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</si>
  <si>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</si>
  <si>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</si>
  <si>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</si>
  <si>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</si>
  <si>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</si>
  <si>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</si>
  <si>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</si>
  <si>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</si>
  <si>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</si>
  <si>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</si>
  <si>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</si>
  <si>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</si>
  <si>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</si>
  <si>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</si>
  <si>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</si>
  <si>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</si>
  <si>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</si>
  <si>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</si>
  <si>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</si>
  <si>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</si>
  <si>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</si>
  <si>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</si>
  <si>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</si>
  <si>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</si>
  <si>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</si>
  <si>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</si>
  <si>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</si>
  <si>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</si>
  <si>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</si>
  <si>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</si>
  <si>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</si>
  <si>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</si>
  <si>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</si>
  <si>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</si>
  <si>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</si>
  <si>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</si>
  <si>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</si>
  <si>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</si>
  <si>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</si>
  <si>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</si>
  <si>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</si>
  <si>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</si>
  <si>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</si>
  <si>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</si>
  <si>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</si>
  <si>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</si>
  <si>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</si>
  <si>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</si>
  <si>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</si>
  <si>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</si>
  <si>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</si>
  <si>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</si>
  <si>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</si>
  <si>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</si>
  <si>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</si>
  <si>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</si>
  <si>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</si>
  <si>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</si>
  <si>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</si>
  <si>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</si>
  <si>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</si>
  <si>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</si>
  <si>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</si>
  <si>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</si>
  <si>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</si>
  <si>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</si>
  <si>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</si>
  <si>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</si>
  <si>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</si>
  <si>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</si>
  <si>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</si>
  <si>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</si>
  <si>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</si>
  <si>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</si>
  <si>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</si>
  <si>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</si>
  <si>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</si>
  <si>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</si>
  <si>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</si>
  <si>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</si>
  <si>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</si>
  <si>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</si>
  <si>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</si>
  <si>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</si>
  <si>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</si>
  <si>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</si>
  <si>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</si>
  <si>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</si>
  <si>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</si>
  <si>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</si>
  <si>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</si>
  <si>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</si>
  <si>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</si>
  <si>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</si>
  <si>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</si>
  <si>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</si>
  <si>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</si>
  <si>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</si>
  <si>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</si>
  <si>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</si>
  <si>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</si>
  <si>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</si>
  <si>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</si>
  <si>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</si>
  <si>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</si>
  <si>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</si>
  <si>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</si>
  <si>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</si>
  <si>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</si>
  <si>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</si>
  <si>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</si>
  <si>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</si>
  <si>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</si>
  <si>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</si>
  <si>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</si>
  <si>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</si>
  <si>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</si>
  <si>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</si>
  <si>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</si>
  <si>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</si>
  <si>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</si>
  <si>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</si>
  <si>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</si>
  <si>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</si>
  <si>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</si>
  <si>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</si>
  <si>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</si>
  <si>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</si>
  <si>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</si>
  <si>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</si>
  <si>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</si>
  <si>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</si>
  <si>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</si>
  <si>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</si>
  <si>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</si>
  <si>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</si>
  <si>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</si>
  <si>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</si>
  <si>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</si>
  <si>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</si>
  <si>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</si>
  <si>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</si>
  <si>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</si>
  <si>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</si>
  <si>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</si>
  <si>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</si>
  <si>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</si>
  <si>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</si>
  <si>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</si>
  <si>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</si>
  <si>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</si>
  <si>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</si>
  <si>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</si>
  <si>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</si>
  <si>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</si>
  <si>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</si>
  <si>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</si>
  <si>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</si>
  <si>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</si>
  <si>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</si>
  <si>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</si>
  <si>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</si>
  <si>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</si>
  <si>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</si>
  <si>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</si>
  <si>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</si>
  <si>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</si>
  <si>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</si>
  <si>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</si>
  <si>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</si>
  <si>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</si>
  <si>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</si>
  <si>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</si>
  <si>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</si>
  <si>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</si>
  <si>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</si>
  <si>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</si>
  <si>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</si>
  <si>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</si>
  <si>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</si>
  <si>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</si>
  <si>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</si>
  <si>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</si>
  <si>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</si>
  <si>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</si>
  <si>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</si>
  <si>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</si>
  <si>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</si>
  <si>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</si>
  <si>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</si>
  <si>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</si>
  <si>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</si>
  <si>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</si>
  <si>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</si>
  <si>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</si>
  <si>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</si>
  <si>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</si>
  <si>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</si>
  <si>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</si>
  <si>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</si>
  <si>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</si>
  <si>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</si>
  <si>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</si>
  <si>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</si>
  <si>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</si>
  <si>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</si>
  <si>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</si>
  <si>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</si>
  <si>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</si>
  <si>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</si>
  <si>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</si>
  <si>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</si>
  <si>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</si>
  <si>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</si>
  <si>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</si>
  <si>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</si>
  <si>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</si>
  <si>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</si>
  <si>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</si>
  <si>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</si>
  <si>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</si>
  <si>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</si>
  <si>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</si>
  <si>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</si>
  <si>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</si>
  <si>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</si>
  <si>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</si>
  <si>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</si>
  <si>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</si>
  <si>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</si>
  <si>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</si>
  <si>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</si>
  <si>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</si>
  <si>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</si>
  <si>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</si>
  <si>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</si>
  <si>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</si>
  <si>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</si>
  <si>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</si>
  <si>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</si>
  <si>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</si>
  <si>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</si>
  <si>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</si>
  <si>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</si>
  <si>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</si>
  <si>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</si>
  <si>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</si>
  <si>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</si>
  <si>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</si>
  <si>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</si>
  <si>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</si>
  <si>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</si>
  <si>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</si>
  <si>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</si>
  <si>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</si>
  <si>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</si>
  <si>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</si>
  <si>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</si>
  <si>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</si>
  <si>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</si>
  <si>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</si>
  <si>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</si>
  <si>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</si>
  <si>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</si>
  <si>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</si>
  <si>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</si>
  <si>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</si>
  <si>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</si>
  <si>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</si>
  <si>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</si>
  <si>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</si>
  <si>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</si>
  <si>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</si>
  <si>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</si>
  <si>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</si>
  <si>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</si>
  <si>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</si>
  <si>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</si>
  <si>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</si>
  <si>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</si>
  <si>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</si>
  <si>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</si>
  <si>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</si>
  <si>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</si>
  <si>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</si>
  <si>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</si>
  <si>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</si>
  <si>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</si>
  <si>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</si>
  <si>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</si>
  <si>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</si>
  <si>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</si>
  <si>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</si>
  <si>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</si>
  <si>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</si>
  <si>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</si>
  <si>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</si>
  <si>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</si>
  <si>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</si>
  <si>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</si>
  <si>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</si>
  <si>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</si>
  <si>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</si>
  <si>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</si>
  <si>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</si>
  <si>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</si>
  <si>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</si>
  <si>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</si>
  <si>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</si>
  <si>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</si>
  <si>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</si>
  <si>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</si>
  <si>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</si>
  <si>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</si>
  <si>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</si>
  <si>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</si>
  <si>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</si>
  <si>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</si>
  <si>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</si>
  <si>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</si>
  <si>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</si>
  <si>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</si>
  <si>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</si>
  <si>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</si>
  <si>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</si>
  <si>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</si>
  <si>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</si>
  <si>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</si>
  <si>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</si>
  <si>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</si>
  <si>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</si>
  <si>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</si>
  <si>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</si>
  <si>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</si>
  <si>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</si>
  <si>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</si>
  <si>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</si>
  <si>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</si>
  <si>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</si>
  <si>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</si>
  <si>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</si>
  <si>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</si>
  <si>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</si>
  <si>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</si>
  <si>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</si>
  <si>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</si>
  <si>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</si>
  <si>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</si>
  <si>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</si>
  <si>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</si>
  <si>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</si>
  <si>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</si>
  <si>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</si>
  <si>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</si>
  <si>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</si>
  <si>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</si>
  <si>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</si>
  <si>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</si>
  <si>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</si>
  <si>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</si>
  <si>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</si>
  <si>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</si>
  <si>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</si>
  <si>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</si>
  <si>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</si>
  <si>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</si>
  <si>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</si>
  <si>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</si>
  <si>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</si>
  <si>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</si>
  <si>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</si>
  <si>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</si>
  <si>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</si>
  <si>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</si>
  <si>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</si>
  <si>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</si>
  <si>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</si>
  <si>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</si>
  <si>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</si>
  <si>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</si>
  <si>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</si>
  <si>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</si>
  <si>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</si>
  <si>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</si>
  <si>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</si>
  <si>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</si>
  <si>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</si>
  <si>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</si>
  <si>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</si>
  <si>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</si>
  <si>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</si>
  <si>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</si>
  <si>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</si>
  <si>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</si>
  <si>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</si>
  <si>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</si>
  <si>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</si>
  <si>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</si>
  <si>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</si>
  <si>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</si>
  <si>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</si>
  <si>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</si>
  <si>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</si>
  <si>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</si>
  <si>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</si>
  <si>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</si>
  <si>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</si>
  <si>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</si>
  <si>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</si>
  <si>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</si>
  <si>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</si>
  <si>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</si>
  <si>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</si>
  <si>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</si>
  <si>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</si>
  <si>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</si>
  <si>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</si>
  <si>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</si>
  <si>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</si>
  <si>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</si>
  <si>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</si>
  <si>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</si>
  <si>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</si>
  <si>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</si>
  <si>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</si>
  <si>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</si>
  <si>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</si>
  <si>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</si>
  <si>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</si>
  <si>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</si>
  <si>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</si>
  <si>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</si>
  <si>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</si>
  <si>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</si>
  <si>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</si>
  <si>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</si>
  <si>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</si>
  <si>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</si>
  <si>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</si>
  <si>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</si>
  <si>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</si>
  <si>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</si>
  <si>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</si>
  <si>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</si>
  <si>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</si>
  <si>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</si>
  <si>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</si>
  <si>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</si>
  <si>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</si>
  <si>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</si>
  <si>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</si>
  <si>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</si>
  <si>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</si>
  <si>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</si>
  <si>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</si>
  <si>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</si>
  <si>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</si>
  <si>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</si>
  <si>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</si>
  <si>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</si>
  <si>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</si>
  <si>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</si>
  <si>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</si>
  <si>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</si>
  <si>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</si>
  <si>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</si>
  <si>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</si>
  <si>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</si>
  <si>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</si>
  <si>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</si>
  <si>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</si>
  <si>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</si>
  <si>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</si>
  <si>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</si>
  <si>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</si>
  <si>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</si>
  <si>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</si>
  <si>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</si>
  <si>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</si>
  <si>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</si>
  <si>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</si>
  <si>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</si>
  <si>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</si>
  <si>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</si>
  <si>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</si>
  <si>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</si>
  <si>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</si>
  <si>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</si>
  <si>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</si>
  <si>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</si>
  <si>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</si>
  <si>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</si>
  <si>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</si>
  <si>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</si>
  <si>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</si>
  <si>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</si>
  <si>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</si>
  <si>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</si>
  <si>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</si>
  <si>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</si>
  <si>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</si>
  <si>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</si>
  <si>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</si>
  <si>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</si>
  <si>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</si>
  <si>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</si>
  <si>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</si>
  <si>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</si>
  <si>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</si>
  <si>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</si>
  <si>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</si>
  <si>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</si>
  <si>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</si>
  <si>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</si>
  <si>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</si>
  <si>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</si>
  <si>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</si>
  <si>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</si>
  <si>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</si>
  <si>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</si>
  <si>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</si>
  <si>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</si>
  <si>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</si>
  <si>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</si>
  <si>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</si>
  <si>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</si>
  <si>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</si>
  <si>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</si>
  <si>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</si>
  <si>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</si>
  <si>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</si>
  <si>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</si>
  <si>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</si>
  <si>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</si>
  <si>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</si>
  <si>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</si>
  <si>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</si>
  <si>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</si>
  <si>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</si>
  <si>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</si>
  <si>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</si>
  <si>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</si>
  <si>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</si>
  <si>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</si>
  <si>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</si>
  <si>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</si>
  <si>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</si>
  <si>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</si>
  <si>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</si>
  <si>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</si>
  <si>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</si>
  <si>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</si>
  <si>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</si>
  <si>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</si>
  <si>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</si>
  <si>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</si>
  <si>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</si>
  <si>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</si>
  <si>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</si>
  <si>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</si>
  <si>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</si>
  <si>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</si>
  <si>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</si>
  <si>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</si>
  <si>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</si>
  <si>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</si>
  <si>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</si>
  <si>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</si>
  <si>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</si>
  <si>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</si>
  <si>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</si>
  <si>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</si>
  <si>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</si>
  <si>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</si>
  <si>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</si>
  <si>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</si>
  <si>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</si>
  <si>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</si>
  <si>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</si>
  <si>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</si>
  <si>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</si>
  <si>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</si>
  <si>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</si>
  <si>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</si>
  <si>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</si>
  <si>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</si>
  <si>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</si>
  <si>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</si>
  <si>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</si>
  <si>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</si>
  <si>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</si>
  <si>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</si>
  <si>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</si>
  <si>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</si>
  <si>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</si>
  <si>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</si>
  <si>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</si>
  <si>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</si>
  <si>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</si>
  <si>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</si>
  <si>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</si>
  <si>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</si>
  <si>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</si>
  <si>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</si>
  <si>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</si>
  <si>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</si>
  <si>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</si>
  <si>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</si>
  <si>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</si>
  <si>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</si>
  <si>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</si>
  <si>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</si>
  <si>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</si>
  <si>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</si>
  <si>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</si>
  <si>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</si>
  <si>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</si>
  <si>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</si>
  <si>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</si>
  <si>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</si>
  <si>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</si>
  <si>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</si>
  <si>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</si>
  <si>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</si>
  <si>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</si>
  <si>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</si>
  <si>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</si>
  <si>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</si>
  <si>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</si>
  <si>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</si>
  <si>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</si>
  <si>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</si>
  <si>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</si>
  <si>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</si>
  <si>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</si>
  <si>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</si>
  <si>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</si>
  <si>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</si>
  <si>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</si>
  <si>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</si>
  <si>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</si>
  <si>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</si>
  <si>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</si>
  <si>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</si>
  <si>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</si>
  <si>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</si>
  <si>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</si>
  <si>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</si>
  <si>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</si>
  <si>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</si>
  <si>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</si>
  <si>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</si>
  <si>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</si>
  <si>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</si>
  <si>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</si>
  <si>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</si>
  <si>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</si>
  <si>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</si>
  <si>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</si>
  <si>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</si>
  <si>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</si>
  <si>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</si>
  <si>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</si>
  <si>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</si>
  <si>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</si>
  <si>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</si>
  <si>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</si>
  <si>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</si>
  <si>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</si>
  <si>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</si>
  <si>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</si>
  <si>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</si>
  <si>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</si>
  <si>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</si>
  <si>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</si>
  <si>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</si>
  <si>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</si>
  <si>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</si>
  <si>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</si>
  <si>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</si>
  <si>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</si>
  <si>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</si>
  <si>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</si>
  <si>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</si>
  <si>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</si>
  <si>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</si>
  <si>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</si>
  <si>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</si>
  <si>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</si>
  <si>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</si>
  <si>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</si>
  <si>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</si>
  <si>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</si>
  <si>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</si>
  <si>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</si>
  <si>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</si>
  <si>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</si>
  <si>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</si>
  <si>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</si>
  <si>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</si>
  <si>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</si>
  <si>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</si>
  <si>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</si>
  <si>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</si>
  <si>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</si>
  <si>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</si>
  <si>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</si>
  <si>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</si>
  <si>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</si>
  <si>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</si>
  <si>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</si>
  <si>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</si>
  <si>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</si>
  <si>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</si>
  <si>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</si>
  <si>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</si>
  <si>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</si>
  <si>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</si>
  <si>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</si>
  <si>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</si>
  <si>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</si>
  <si>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</si>
  <si>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</si>
  <si>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</si>
  <si>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</si>
  <si>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</si>
  <si>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</si>
  <si>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</si>
  <si>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</si>
  <si>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</si>
  <si>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</si>
  <si>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</si>
  <si>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</si>
  <si>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</si>
  <si>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</si>
  <si>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</si>
  <si>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</si>
  <si>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</si>
  <si>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</si>
  <si>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</si>
  <si>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</si>
  <si>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</si>
  <si>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</si>
  <si>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</si>
  <si>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</si>
  <si>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</si>
  <si>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</si>
  <si>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</si>
  <si>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</si>
  <si>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</si>
  <si>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</si>
  <si>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</si>
  <si>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</si>
  <si>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</si>
  <si>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</si>
  <si>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</si>
  <si>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</si>
  <si>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</si>
  <si>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</si>
  <si>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</si>
  <si>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</si>
  <si>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</si>
  <si>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</si>
  <si>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</si>
  <si>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</si>
  <si>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</si>
  <si>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</si>
  <si>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</si>
  <si>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</si>
  <si>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</si>
  <si>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</si>
  <si>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</si>
  <si>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</si>
  <si>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</si>
  <si>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</si>
  <si>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</si>
  <si>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</si>
  <si>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</si>
  <si>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</si>
  <si>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</si>
  <si>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</si>
  <si>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</si>
  <si>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</si>
  <si>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</si>
  <si>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</si>
  <si>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</si>
  <si>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</si>
  <si>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</si>
  <si>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</si>
  <si>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</si>
  <si>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</si>
  <si>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</si>
  <si>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</si>
  <si>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</si>
  <si>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</si>
  <si>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</si>
  <si>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</si>
  <si>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</si>
  <si>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</si>
  <si>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</si>
  <si>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</si>
  <si>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</si>
  <si>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</si>
  <si>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</si>
  <si>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</si>
  <si>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</si>
  <si>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</si>
  <si>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</si>
  <si>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</si>
  <si>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</si>
  <si>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</si>
  <si>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</si>
  <si>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</si>
  <si>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</si>
  <si>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</si>
  <si>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</si>
  <si>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</si>
  <si>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</si>
  <si>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</si>
  <si>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</si>
  <si>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</si>
  <si>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</si>
  <si>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</si>
  <si>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</si>
  <si>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</si>
  <si>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</si>
  <si>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</si>
  <si>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</si>
  <si>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</si>
  <si>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</si>
  <si>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</si>
  <si>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</si>
  <si>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</si>
  <si>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</si>
  <si>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</si>
  <si>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</si>
  <si>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</si>
  <si>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</si>
  <si>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</si>
  <si>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</si>
  <si>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</si>
  <si>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</si>
  <si>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</si>
  <si>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</si>
  <si>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</si>
  <si>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</si>
  <si>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</si>
  <si>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</si>
  <si>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</si>
  <si>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</si>
  <si>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</si>
  <si>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</si>
  <si>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</si>
  <si>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</si>
  <si>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</si>
  <si>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</si>
  <si>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</si>
  <si>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</si>
  <si>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</si>
  <si>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</si>
  <si>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</si>
  <si>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</si>
  <si>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</si>
  <si>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</si>
  <si>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</si>
  <si>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</si>
  <si>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</si>
  <si>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</si>
  <si>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</si>
  <si>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</si>
  <si>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</si>
  <si>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</si>
  <si>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</si>
  <si>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</si>
  <si>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</si>
  <si>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</si>
  <si>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</si>
  <si>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</si>
  <si>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</si>
  <si>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</si>
  <si>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</si>
  <si>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</si>
  <si>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</si>
  <si>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</si>
  <si>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</si>
  <si>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</si>
  <si>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</si>
  <si>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</si>
  <si>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</si>
  <si>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</si>
  <si>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</si>
  <si>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</si>
  <si>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</si>
  <si>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</si>
  <si>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</si>
  <si>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</si>
  <si>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</si>
  <si>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</si>
  <si>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</si>
  <si>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</si>
  <si>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</si>
  <si>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</si>
  <si>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</si>
  <si>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</si>
  <si>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</si>
  <si>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</si>
  <si>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</si>
  <si>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</si>
  <si>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</si>
  <si>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</si>
  <si>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</si>
  <si>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</si>
  <si>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</si>
  <si>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</si>
  <si>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</si>
  <si>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</si>
  <si>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</si>
  <si>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</si>
  <si>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</si>
  <si>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</si>
  <si>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</si>
  <si>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</si>
  <si>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</si>
  <si>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</si>
  <si>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</si>
  <si>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</si>
  <si>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</si>
  <si>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</si>
  <si>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</si>
  <si>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</si>
  <si>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</si>
  <si>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</si>
  <si>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</si>
  <si>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</si>
  <si>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</si>
  <si>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</si>
  <si>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</si>
  <si>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</si>
  <si>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</si>
  <si>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</si>
  <si>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</si>
  <si>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</si>
  <si>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</si>
  <si>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</si>
  <si>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</si>
  <si>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</si>
  <si>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</si>
  <si>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</si>
  <si>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</si>
  <si>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</si>
  <si>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</si>
  <si>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</si>
  <si>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</si>
  <si>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</si>
  <si>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</si>
  <si>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</si>
  <si>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</si>
  <si>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</si>
  <si>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</si>
  <si>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</si>
  <si>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</si>
  <si>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</si>
  <si>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</si>
  <si>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</si>
  <si>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</si>
  <si>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</si>
  <si>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</si>
  <si>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</si>
  <si>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</si>
  <si>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</si>
  <si>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</si>
  <si>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</si>
  <si>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</si>
  <si>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</si>
  <si>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</si>
  <si>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</si>
  <si>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</si>
  <si>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</si>
  <si>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</si>
  <si>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</si>
  <si>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</si>
  <si>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</si>
  <si>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</si>
  <si>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</si>
  <si>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</si>
  <si>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</si>
  <si>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</si>
  <si>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</si>
  <si>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</si>
  <si>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</si>
  <si>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</si>
  <si>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</si>
  <si>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</si>
  <si>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</si>
  <si>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</si>
  <si>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</si>
  <si>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</si>
  <si>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</si>
  <si>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</si>
  <si>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</si>
  <si>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</si>
  <si>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</si>
  <si>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</si>
  <si>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</si>
  <si>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</si>
  <si>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</si>
  <si>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</si>
  <si>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</si>
  <si>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</si>
  <si>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</si>
  <si>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</si>
  <si>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</si>
  <si>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</si>
  <si>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</si>
  <si>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</si>
  <si>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</si>
  <si>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</si>
  <si>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</si>
  <si>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</si>
  <si>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</si>
  <si>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</si>
  <si>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</si>
  <si>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</si>
  <si>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</si>
  <si>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</si>
  <si>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</si>
  <si>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</si>
  <si>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</si>
  <si>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</si>
  <si>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</si>
  <si>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</si>
  <si>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</si>
  <si>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</si>
  <si>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</si>
  <si>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</si>
  <si>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</si>
  <si>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</si>
  <si>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</si>
  <si>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</si>
  <si>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</si>
  <si>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</si>
  <si>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</si>
  <si>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</si>
  <si>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</si>
  <si>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</si>
  <si>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</si>
  <si>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</si>
  <si>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</si>
  <si>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</si>
  <si>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</si>
  <si>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</si>
  <si>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</si>
  <si>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</si>
  <si>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</si>
  <si>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</si>
  <si>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</si>
  <si>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</si>
  <si>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</si>
  <si>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</si>
  <si>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</si>
  <si>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</si>
  <si>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</si>
  <si>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</si>
  <si>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</si>
  <si>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</si>
  <si>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</si>
  <si>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</si>
  <si>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</si>
  <si>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</si>
  <si>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</si>
  <si>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</si>
  <si>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</si>
  <si>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</si>
  <si>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</si>
  <si>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</si>
  <si>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</si>
  <si>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</si>
  <si>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</si>
  <si>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</si>
  <si>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</si>
  <si>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</si>
  <si>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</si>
  <si>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</si>
  <si>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</si>
  <si>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</si>
  <si>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</si>
  <si>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</si>
  <si>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</si>
  <si>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</si>
  <si>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</si>
  <si>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</si>
  <si>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</si>
  <si>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</si>
  <si>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</si>
  <si>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</si>
  <si>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</si>
  <si>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</si>
  <si>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</si>
  <si>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</si>
  <si>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</si>
  <si>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</si>
  <si>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</si>
  <si>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</si>
  <si>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</si>
  <si>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</si>
  <si>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</si>
  <si>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</si>
  <si>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</si>
  <si>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</si>
  <si>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</si>
  <si>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</si>
  <si>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</si>
  <si>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</si>
  <si>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</si>
  <si>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</si>
  <si>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</si>
  <si>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</si>
  <si>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</si>
  <si>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</si>
  <si>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</si>
  <si>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</si>
  <si>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</si>
  <si>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</si>
  <si>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</si>
  <si>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</si>
  <si>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</si>
  <si>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</si>
  <si>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</si>
  <si>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</si>
  <si>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</si>
  <si>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</si>
  <si>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</si>
  <si>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</si>
  <si>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</si>
  <si>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</si>
  <si>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</si>
  <si>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</si>
  <si>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</si>
  <si>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</si>
  <si>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</si>
  <si>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</si>
  <si>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</si>
  <si>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</si>
  <si>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</si>
  <si>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</si>
  <si>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</si>
  <si>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</si>
  <si>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</si>
  <si>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</si>
  <si>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</si>
  <si>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</si>
  <si>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</si>
  <si>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</si>
  <si>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</si>
  <si>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</si>
  <si>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</si>
  <si>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</si>
  <si>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</si>
  <si>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</si>
  <si>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</si>
  <si>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</si>
  <si>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</si>
  <si>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</si>
  <si>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</si>
  <si>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</si>
  <si>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</si>
  <si>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</si>
  <si>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</si>
  <si>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</si>
  <si>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</si>
  <si>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</si>
  <si>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</si>
  <si>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</si>
  <si>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</si>
  <si>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</si>
  <si>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</si>
  <si>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</si>
  <si>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</si>
  <si>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</si>
  <si>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</si>
  <si>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</si>
  <si>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</si>
  <si>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</si>
  <si>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</si>
  <si>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</si>
  <si>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</si>
  <si>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</si>
  <si>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</si>
  <si>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</si>
  <si>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</si>
  <si>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</si>
  <si>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</si>
  <si>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</si>
  <si>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</si>
  <si>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</si>
  <si>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</si>
  <si>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</si>
  <si>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</si>
  <si>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</si>
  <si>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</si>
  <si>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</si>
  <si>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</si>
  <si>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</si>
  <si>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</si>
  <si>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</si>
  <si>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</si>
  <si>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</si>
  <si>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</si>
  <si>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</si>
  <si>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</si>
  <si>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</si>
  <si>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</si>
  <si>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</si>
  <si>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</si>
  <si>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</si>
  <si>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</si>
  <si>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</si>
  <si>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</si>
  <si>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</si>
  <si>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</si>
  <si>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</si>
  <si>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</si>
  <si>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</si>
  <si>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</si>
  <si>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</si>
  <si>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</si>
  <si>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</si>
  <si>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</si>
  <si>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</si>
  <si>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</si>
  <si>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</si>
  <si>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</si>
  <si>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</si>
  <si>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</si>
  <si>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</si>
  <si>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</si>
  <si>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</si>
  <si>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</si>
  <si>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</si>
  <si>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</si>
  <si>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</si>
  <si>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</si>
  <si>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</si>
  <si>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</si>
  <si>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</si>
  <si>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</si>
  <si>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</si>
  <si>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</si>
  <si>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</si>
  <si>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</si>
  <si>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</si>
  <si>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</si>
  <si>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</si>
  <si>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</si>
  <si>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</si>
  <si>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</si>
  <si>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</si>
  <si>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</si>
  <si>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</si>
  <si>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</si>
  <si>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</si>
  <si>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</si>
  <si>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</si>
  <si>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</si>
  <si>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</si>
  <si>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</si>
  <si>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</si>
  <si>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</si>
  <si>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</si>
  <si>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</si>
  <si>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</si>
  <si>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</si>
  <si>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</si>
  <si>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</si>
  <si>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</si>
  <si>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</si>
  <si>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</si>
  <si>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</si>
  <si>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</si>
  <si>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</si>
  <si>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</si>
  <si>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</si>
  <si>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</si>
  <si>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</si>
  <si>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</si>
  <si>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</si>
  <si>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</si>
  <si>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</si>
  <si>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</si>
  <si>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</si>
  <si>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</si>
  <si>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</si>
  <si>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</si>
  <si>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</si>
  <si>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</si>
  <si>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</si>
  <si>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</si>
  <si>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</si>
  <si>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</si>
  <si>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</si>
  <si>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</si>
  <si>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</si>
  <si>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</si>
  <si>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</si>
  <si>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</si>
  <si>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</si>
  <si>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</si>
  <si>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</si>
  <si>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</si>
  <si>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</si>
  <si>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</si>
  <si>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</si>
  <si>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</si>
  <si>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</si>
  <si>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</si>
  <si>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</si>
  <si>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</si>
  <si>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</si>
  <si>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</si>
  <si>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</si>
  <si>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</si>
  <si>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</si>
  <si>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</si>
  <si>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</si>
  <si>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</si>
  <si>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</si>
  <si>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</si>
  <si>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</si>
  <si>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</si>
  <si>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</si>
  <si>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</si>
  <si>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</si>
  <si>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</si>
  <si>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</si>
  <si>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</si>
  <si>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</si>
  <si>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</si>
  <si>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</si>
  <si>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</si>
  <si>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</si>
  <si>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</si>
  <si>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</si>
  <si>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</si>
  <si>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</si>
  <si>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</si>
  <si>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</si>
  <si>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</si>
  <si>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</si>
  <si>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</si>
  <si>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</si>
  <si>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</si>
  <si>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</si>
  <si>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</si>
  <si>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</si>
  <si>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</si>
  <si>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</si>
  <si>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</si>
  <si>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</si>
  <si>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</si>
  <si>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</si>
  <si>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</si>
  <si>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</si>
  <si>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</si>
  <si>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</si>
  <si>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</si>
  <si>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</si>
  <si>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</si>
  <si>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</si>
  <si>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</si>
  <si>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</si>
  <si>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</si>
  <si>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</si>
  <si>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</si>
  <si>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</si>
  <si>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</si>
  <si>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</si>
  <si>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</si>
  <si>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</si>
  <si>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</si>
  <si>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</si>
  <si>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</si>
  <si>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</si>
  <si>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</si>
  <si>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</si>
  <si>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</si>
  <si>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</si>
  <si>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</si>
  <si>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</si>
  <si>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</si>
  <si>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</si>
  <si>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</si>
  <si>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</si>
  <si>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</si>
  <si>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</si>
  <si>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</si>
  <si>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</si>
  <si>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</si>
  <si>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</si>
  <si>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</si>
  <si>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</si>
  <si>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</si>
  <si>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</si>
  <si>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</si>
  <si>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</si>
  <si>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</si>
  <si>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</si>
  <si>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</si>
  <si>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</si>
  <si>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</si>
  <si>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</si>
  <si>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</si>
  <si>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</si>
  <si>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</si>
  <si>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</si>
  <si>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</si>
  <si>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</si>
  <si>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</si>
  <si>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</si>
  <si>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</si>
  <si>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</si>
  <si>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</si>
  <si>
    <r>
      <t>1</t>
    </r>
    <r>
      <rPr>
        <sz val="11"/>
        <rFont val="宋体"/>
        <family val="3"/>
        <charset val="134"/>
      </rPr>
      <t>层</t>
    </r>
    <phoneticPr fontId="31" type="noConversion"/>
  </si>
  <si>
    <t>较好</t>
    <phoneticPr fontId="31" type="noConversion"/>
  </si>
  <si>
    <t>王鹏</t>
  </si>
  <si>
    <t>郑燚</t>
  </si>
  <si>
    <t>办公项目</t>
  </si>
  <si>
    <t>无</t>
  </si>
  <si>
    <t>现房</t>
  </si>
  <si>
    <t>通路</t>
  </si>
  <si>
    <t>通电</t>
  </si>
  <si>
    <t>通上水</t>
  </si>
  <si>
    <t>通下水</t>
  </si>
  <si>
    <t>通讯</t>
  </si>
  <si>
    <t>通热</t>
  </si>
  <si>
    <t>其他用房</t>
    <phoneticPr fontId="7" type="noConversion"/>
  </si>
  <si>
    <t>典型户型修正（房本1）</t>
    <phoneticPr fontId="16" type="noConversion"/>
  </si>
  <si>
    <t>收益比率</t>
  </si>
  <si>
    <t>同一抵押权人同一抵押物续贷</t>
  </si>
  <si>
    <t>情况4</t>
  </si>
  <si>
    <t>转让取得</t>
  </si>
  <si>
    <t>个人非住宅</t>
  </si>
  <si>
    <t>可餐饮</t>
  </si>
  <si>
    <t>可餐饮</t>
    <phoneticPr fontId="31" type="noConversion"/>
  </si>
  <si>
    <t>不可餐饮</t>
  </si>
  <si>
    <t>不可餐饮</t>
    <phoneticPr fontId="31" type="noConversion"/>
  </si>
  <si>
    <t>七通</t>
    <phoneticPr fontId="31" type="noConversion"/>
  </si>
  <si>
    <t>六通</t>
    <phoneticPr fontId="31" type="noConversion"/>
  </si>
  <si>
    <t>后沙峪</t>
    <phoneticPr fontId="31" type="noConversion"/>
  </si>
  <si>
    <t>国展</t>
    <phoneticPr fontId="31" type="noConversion"/>
  </si>
  <si>
    <t>租金</t>
  </si>
  <si>
    <t>在建（套用方法）</t>
  </si>
  <si>
    <t>自然人</t>
  </si>
  <si>
    <t>典型户型修正 (房本2)</t>
  </si>
  <si>
    <t>典型户型修正 (房本2)</t>
    <phoneticPr fontId="16"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</si>
</sst>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0" fontId="171" fillId="6" borderId="13" xfId="12" applyFont="1" applyFill="1" applyBorder="1" applyAlignment="1">
      <alignment horizontal="center" vertical="center" wrapText="1"/>
    </xf>
    <xf numFmtId="0" fontId="61" fillId="5" borderId="1" xfId="18"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67" customWidth="1"/>
    <col min="2" max="2" width="81" style="1584" customWidth="1"/>
    <col min="3" max="16384" width="9" style="1582"/>
  </cols>
  <sheetData>
    <row r="1" spans="1:2" s="1570" customFormat="1" ht="16.5" thickBot="1">
      <c r="A1" s="1569" t="s">
        <v>1214</v>
      </c>
      <c r="B1" s="1568" t="s">
        <v>1293</v>
      </c>
    </row>
    <row r="2" spans="1:2" s="1573" customFormat="1" ht="15" thickTop="1">
      <c r="A2" s="1571" t="s">
        <v>1215</v>
      </c>
      <c r="B2" s="1572" t="str">
        <f>'预评函-封皮'!B37:I37</f>
        <v>北京市房地产抵押价值预评估</v>
      </c>
    </row>
    <row r="3" spans="1:2" s="1576" customFormat="1">
      <c r="A3" s="1574" t="s">
        <v>1216</v>
      </c>
      <c r="B3" s="1575">
        <f>'预评函-封皮'!B40</f>
        <v>0</v>
      </c>
    </row>
    <row r="4" spans="1:2" s="1576" customFormat="1">
      <c r="A4" s="1574" t="s">
        <v>1217</v>
      </c>
      <c r="B4" s="1575" t="str">
        <f ca="1">'预评函-封皮'!B46</f>
        <v>王鹏（注册号：1120050019)、郑燚（注册号：1120070131)</v>
      </c>
    </row>
    <row r="5" spans="1:2" s="1570" customFormat="1" ht="15" thickBot="1">
      <c r="A5" s="1577" t="s">
        <v>1218</v>
      </c>
      <c r="B5" s="1578" t="str">
        <f>'预评函-封皮'!B49</f>
        <v>康正预评字号</v>
      </c>
    </row>
    <row r="6" spans="1:2" s="1573" customFormat="1" ht="15" thickTop="1">
      <c r="A6" s="1571" t="s">
        <v>1219</v>
      </c>
      <c r="B6" s="1572" t="str">
        <f>'预评函-1'!A4</f>
        <v>受贵公司委托，我公司对北京市房地产抵押价值进行了预评估。</v>
      </c>
    </row>
    <row r="7" spans="1:2" s="1576" customFormat="1">
      <c r="A7" s="1574" t="s">
        <v>1259</v>
      </c>
      <c r="B7" s="1575" t="str">
        <f>'预评函-1'!A7</f>
        <v>估价对象为北京市房地产，为所有。根据，估价对象（分摊）出让国有建设用地使用权面积为0平方米。根据《房屋所有权证》[]、《测绘报告》[]，估价对象建筑面积为1266.65平方米。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房地产,属开发建设的办公项目，该项目尚在开发建设中。根据，估价对象（分摊）出让国有建设用地使用权面积为0平方米。根据《房屋所有权证》[]、《测绘报告》[]，估价对象规划建筑面积为1266.65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2020年2月25日（评估专业人员实地查勘之日）</v>
      </c>
    </row>
    <row r="13" spans="1:2" s="1576" customFormat="1">
      <c r="A13" s="1574" t="s">
        <v>1222</v>
      </c>
      <c r="B13" s="1575" t="str">
        <f>'预评函-1'!A18</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5" thickBot="1">
      <c r="A18" s="1577" t="s">
        <v>1227</v>
      </c>
      <c r="B18" s="1578" t="str">
        <f>'预评函-1'!A24</f>
        <v>本次评估采用的主估价方法为比较法和收益法。</v>
      </c>
    </row>
    <row r="19" spans="1:2" s="1573" customFormat="1" ht="15"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435</v>
      </c>
    </row>
    <row r="21" spans="1:2" s="1576" customFormat="1">
      <c r="A21" s="1574" t="s">
        <v>1230</v>
      </c>
      <c r="B21" s="1575">
        <f ca="1">'预评函-2'!D7</f>
        <v>3434</v>
      </c>
    </row>
    <row r="22" spans="1:2" s="1576" customFormat="1">
      <c r="A22" s="1574" t="s">
        <v>1231</v>
      </c>
      <c r="B22" s="1575" t="str">
        <f ca="1">'预评函-2'!D6</f>
        <v>肆佰叁拾伍万元整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435</v>
      </c>
    </row>
    <row r="31" spans="1:2" s="1576" customFormat="1">
      <c r="A31" s="1574" t="s">
        <v>1269</v>
      </c>
      <c r="B31" s="1575">
        <f ca="1">'预评函-2'!D15</f>
        <v>3434</v>
      </c>
    </row>
    <row r="32" spans="1:2" s="1576" customFormat="1">
      <c r="A32" s="1574" t="s">
        <v>1236</v>
      </c>
      <c r="B32" s="1575" t="str">
        <f ca="1">'预评函-2'!D14</f>
        <v>肆佰叁拾伍万元整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v>
      </c>
    </row>
    <row r="38" spans="1:2" s="1576" customFormat="1">
      <c r="A38" s="1574" t="s">
        <v>1290</v>
      </c>
      <c r="B38" s="1575" t="str">
        <f>'预评函-2'!D19</f>
        <v>——</v>
      </c>
    </row>
    <row r="39" spans="1:2" s="1576" customFormat="1">
      <c r="A39" s="1574" t="s">
        <v>1238</v>
      </c>
      <c r="B39" s="1575" t="str">
        <f>'预评函-2'!D21</f>
        <v>——</v>
      </c>
    </row>
    <row r="40" spans="1:2" s="1576" customFormat="1">
      <c r="A40" s="1574" t="s">
        <v>1239</v>
      </c>
      <c r="B40" s="1575" t="e">
        <f>'预评函-2'!D20</f>
        <v>#VALUE!</v>
      </c>
    </row>
    <row r="41" spans="1:2" s="1576" customFormat="1">
      <c r="A41" s="1574" t="s">
        <v>1285</v>
      </c>
      <c r="B41" s="1575" t="str">
        <f>'预评函-3'!A4</f>
        <v>北京市房地产</v>
      </c>
    </row>
    <row r="42" spans="1:2" s="1576" customFormat="1">
      <c r="A42" s="1574" t="s">
        <v>1283</v>
      </c>
      <c r="B42" s="1575" t="str">
        <f>'预评函-3'!B2</f>
        <v>建筑面积</v>
      </c>
    </row>
    <row r="43" spans="1:2" s="1576" customFormat="1">
      <c r="A43" s="1574" t="s">
        <v>1284</v>
      </c>
      <c r="B43" s="1575">
        <f>'预评函-3'!B4</f>
        <v>1266.6499999999999</v>
      </c>
    </row>
    <row r="44" spans="1:2" s="1576" customFormat="1">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
      </c>
    </row>
    <row r="57" spans="1:2" s="1570" customFormat="1" ht="15" thickBot="1">
      <c r="A57" s="1577" t="s">
        <v>1292</v>
      </c>
      <c r="B57" s="1578" t="str">
        <f>'预评函-3'!A6</f>
        <v>估价师知悉的法定优先受偿款</v>
      </c>
    </row>
    <row r="58" spans="1:2" s="1573" customFormat="1" ht="15"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v>
      </c>
    </row>
    <row r="67" spans="1:2" s="1576" customFormat="1">
      <c r="A67" s="1574" t="s">
        <v>1264</v>
      </c>
      <c r="B67" s="1575" t="str">
        <f>'预评函-4'!A21</f>
        <v>——</v>
      </c>
    </row>
    <row r="68" spans="1:2" s="1576" customFormat="1">
      <c r="A68" s="1574" t="s">
        <v>1265</v>
      </c>
      <c r="B68" s="1575" t="str">
        <f>'预评函-4'!A22</f>
        <v>8.其他需特殊说明事项：无（注意调整序号）</v>
      </c>
    </row>
    <row r="69" spans="1:2" s="1570" customFormat="1" ht="15" thickBot="1">
      <c r="A69" s="1577" t="s">
        <v>1254</v>
      </c>
      <c r="B69" s="1579">
        <f>'预评函-4'!C31</f>
        <v>42551</v>
      </c>
    </row>
    <row r="70" spans="1:2" ht="15" thickTop="1">
      <c r="A70" s="1580" t="s">
        <v>1255</v>
      </c>
      <c r="B70" s="1581" t="str">
        <f>'预评函-4'!A4</f>
        <v>王鹏</v>
      </c>
    </row>
    <row r="71" spans="1:2">
      <c r="A71" s="1574" t="s">
        <v>1256</v>
      </c>
      <c r="B71" s="1575">
        <f ca="1">'预评函-4'!B4</f>
        <v>1120050019</v>
      </c>
    </row>
    <row r="72" spans="1:2">
      <c r="A72" s="1574" t="s">
        <v>1257</v>
      </c>
      <c r="B72" s="1583" t="str">
        <f>'预评函-4'!A5</f>
        <v>郑燚</v>
      </c>
    </row>
    <row r="73" spans="1:2" s="1570" customFormat="1" ht="15" thickBot="1">
      <c r="A73" s="1577" t="s">
        <v>1258</v>
      </c>
      <c r="B73" s="1578">
        <f ca="1">'预评函-4'!B5</f>
        <v>1120070131</v>
      </c>
    </row>
    <row r="74" spans="1:2" ht="15"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E14" sqref="E14"/>
    </sheetView>
  </sheetViews>
  <sheetFormatPr defaultColWidth="9" defaultRowHeight="13.5"/>
  <cols>
    <col min="1" max="1" width="13.5" style="2006" customWidth="1"/>
    <col min="2" max="2" width="23.25" style="1957" customWidth="1"/>
    <col min="3" max="3" width="13" style="2001" customWidth="1"/>
    <col min="4" max="4" width="5.75" style="1998" customWidth="1"/>
    <col min="5" max="5" width="7.125" style="1998" customWidth="1"/>
    <col min="6" max="6" width="10.625" style="1998" customWidth="1"/>
    <col min="7" max="7" width="7.5" style="1998" customWidth="1"/>
    <col min="8" max="8" width="9" style="2001" customWidth="1"/>
    <col min="9" max="9" width="11.625" style="2001" customWidth="1"/>
    <col min="10" max="10" width="9" style="2001" customWidth="1"/>
    <col min="11" max="19" width="9" style="1998" customWidth="1"/>
    <col min="20" max="23" width="9" style="2001" customWidth="1"/>
    <col min="24" max="24" width="21.125" style="1957" customWidth="1"/>
    <col min="25" max="16384" width="9" style="1957"/>
  </cols>
  <sheetData>
    <row r="1" spans="1:23" s="1995" customFormat="1" ht="27">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3112</v>
      </c>
      <c r="C17" s="1997"/>
    </row>
    <row r="18" spans="1:3">
      <c r="A18" s="1996" t="s">
        <v>1761</v>
      </c>
      <c r="B18" s="1996" t="s">
        <v>3130</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50"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04" t="s">
        <v>860</v>
      </c>
      <c r="C54" s="2001" t="s">
        <v>1276</v>
      </c>
    </row>
    <row r="55" spans="1:4">
      <c r="A55" s="3050"/>
      <c r="B55" s="2004" t="s">
        <v>861</v>
      </c>
      <c r="C55" s="2001" t="s">
        <v>1277</v>
      </c>
    </row>
    <row r="56" spans="1:4">
      <c r="A56" s="3050"/>
      <c r="B56" s="2004" t="s">
        <v>862</v>
      </c>
      <c r="C56" s="2001" t="s">
        <v>1281</v>
      </c>
    </row>
    <row r="57" spans="1:4">
      <c r="A57" s="3050"/>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75" style="2014" customWidth="1"/>
    <col min="2" max="2" width="10" style="2014" customWidth="1"/>
    <col min="3" max="4" width="11.5" style="2014" customWidth="1"/>
    <col min="5" max="6" width="10" style="2014" customWidth="1"/>
    <col min="7" max="7" width="10.75" style="2014" customWidth="1"/>
    <col min="8" max="8" width="10" style="2014" customWidth="1"/>
    <col min="9" max="9" width="11.125" style="2141" customWidth="1"/>
    <col min="10" max="10" width="10" style="2014" customWidth="1"/>
    <col min="11" max="11" width="10" style="2142" customWidth="1"/>
    <col min="12" max="13" width="10" style="2143" customWidth="1"/>
    <col min="14" max="14" width="10" style="2014" customWidth="1"/>
    <col min="15" max="15" width="10" style="2141" customWidth="1"/>
    <col min="16" max="17" width="10" style="2014"/>
    <col min="18" max="18" width="10" style="2014" customWidth="1"/>
    <col min="19" max="16384" width="10" style="2014"/>
  </cols>
  <sheetData>
    <row r="1" spans="1:19" ht="38.25" customHeight="1" thickBot="1">
      <c r="A1" s="2007" t="s">
        <v>1770</v>
      </c>
      <c r="B1" s="3051" t="str">
        <f>IF(B10="北京市","北京市",C10)&amp;F10&amp;IF(结果表!G1="在建","出让国有建设用地使用权及在建建筑物",IF(结果表!G1="土地","出让国有建设用地使用权",))&amp;B9&amp;"预评估"</f>
        <v>北京市房地产抵押价值预评估</v>
      </c>
      <c r="C1" s="3052"/>
      <c r="D1" s="3052"/>
      <c r="E1" s="3052"/>
      <c r="F1" s="3052"/>
      <c r="G1" s="3052"/>
      <c r="H1" s="3052"/>
      <c r="I1" s="3053"/>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北京市房地产</v>
      </c>
    </row>
    <row r="3" spans="1:19" ht="18" customHeight="1">
      <c r="A3" s="2017" t="s">
        <v>1772</v>
      </c>
      <c r="B3" s="2018">
        <v>43886</v>
      </c>
      <c r="C3" s="2019" t="s">
        <v>1773</v>
      </c>
      <c r="D3" s="2018">
        <f>B3</f>
        <v>43886</v>
      </c>
      <c r="E3" s="2008"/>
      <c r="F3" s="2008"/>
      <c r="G3" s="2008"/>
      <c r="H3" s="2008"/>
      <c r="I3" s="2008"/>
      <c r="J3" s="2008"/>
      <c r="K3" s="2009"/>
      <c r="L3" s="2010"/>
      <c r="M3" s="2010"/>
      <c r="N3" s="2011"/>
      <c r="O3" s="2012"/>
      <c r="P3" s="2011"/>
      <c r="Q3" s="2011"/>
      <c r="R3" s="2011"/>
      <c r="S3" s="2013"/>
    </row>
    <row r="4" spans="1:19" ht="18" customHeight="1" thickBot="1">
      <c r="A4" s="2020" t="s">
        <v>1774</v>
      </c>
      <c r="B4" s="2021" t="s">
        <v>3100</v>
      </c>
      <c r="C4" s="1020">
        <f ca="1">SUMIF(注册房地产估价师,B4,估价师及机构信息!B3:B24)</f>
        <v>1120050019</v>
      </c>
      <c r="D4" s="2021" t="s">
        <v>3101</v>
      </c>
      <c r="E4" s="1021">
        <f ca="1">SUMIF(注册房地产估价师,D4,估价师及机构信息!B3:B24)</f>
        <v>1120070131</v>
      </c>
      <c r="F4" s="2021" t="s">
        <v>70</v>
      </c>
      <c r="G4" s="2022">
        <f>SUMIF(注册房地产估价师,F4,估价师及机构信息!B3:B24)</f>
        <v>0</v>
      </c>
      <c r="H4" s="2021" t="s">
        <v>70</v>
      </c>
      <c r="I4" s="2023">
        <f>SUMIF(注册房地产估价师,H4,估价师及机构信息!B3:B24)</f>
        <v>0</v>
      </c>
      <c r="J4" s="2024"/>
      <c r="K4" s="2025" t="str">
        <f ca="1">CONCATENATE(B4,"（注册号：",C4,")、",D4,"（注册号：",E4,")")</f>
        <v>王鹏（注册号：1120050019)、郑燚（注册号：1120070131)</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3042</v>
      </c>
      <c r="C8" s="2038"/>
      <c r="D8" s="3054" t="s">
        <v>1779</v>
      </c>
      <c r="E8" s="2039" t="s">
        <v>3043</v>
      </c>
      <c r="F8" s="2040"/>
      <c r="G8" s="2008"/>
      <c r="H8" s="2008"/>
      <c r="I8" s="2008"/>
      <c r="J8" s="2024"/>
      <c r="K8" s="2025"/>
      <c r="L8" s="2010"/>
      <c r="M8" s="2010"/>
      <c r="N8" s="2011"/>
      <c r="O8" s="2012"/>
      <c r="P8" s="2011"/>
      <c r="Q8" s="2011"/>
      <c r="R8" s="2011"/>
    </row>
    <row r="9" spans="1:19" ht="18" customHeight="1" thickBot="1">
      <c r="A9" s="2022" t="s">
        <v>1780</v>
      </c>
      <c r="B9" s="2041" t="s">
        <v>3043</v>
      </c>
      <c r="C9" s="2042"/>
      <c r="D9" s="3055"/>
      <c r="E9" s="2041"/>
      <c r="F9" s="2043"/>
      <c r="G9" s="2044"/>
      <c r="H9" s="2044"/>
      <c r="I9" s="2044"/>
      <c r="J9" s="2024"/>
      <c r="K9" s="2036"/>
      <c r="L9" s="2010"/>
      <c r="M9" s="2010"/>
      <c r="N9" s="2011"/>
      <c r="O9" s="2012"/>
      <c r="P9" s="2011"/>
      <c r="Q9" s="2011"/>
      <c r="R9" s="2011"/>
    </row>
    <row r="10" spans="1:19" ht="18" customHeight="1" thickTop="1">
      <c r="A10" s="2045" t="s">
        <v>1781</v>
      </c>
      <c r="B10" s="2046" t="s">
        <v>3044</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t="s">
        <v>3128</v>
      </c>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3045</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981">
        <v>56663</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61"/>
      <c r="C16" s="3062"/>
      <c r="D16" s="3063"/>
      <c r="E16" s="2068" t="s">
        <v>1796</v>
      </c>
      <c r="F16" s="3064"/>
      <c r="G16" s="3065"/>
      <c r="H16" s="3065"/>
      <c r="I16" s="3066"/>
      <c r="J16" s="2011"/>
      <c r="K16" s="2065"/>
      <c r="L16" s="2066"/>
      <c r="M16" s="2066"/>
      <c r="N16" s="2067"/>
      <c r="O16" s="2066"/>
      <c r="P16" s="2067"/>
      <c r="Q16" s="2011"/>
      <c r="R16" s="2011"/>
    </row>
    <row r="17" spans="1:22" ht="18" customHeight="1">
      <c r="A17" s="2069" t="s">
        <v>1797</v>
      </c>
      <c r="B17" s="2017" t="s">
        <v>1798</v>
      </c>
      <c r="C17" s="1037">
        <f>'数据-汇总表'!E3</f>
        <v>1266.6499999999999</v>
      </c>
      <c r="D17" s="2070" t="s">
        <v>1799</v>
      </c>
      <c r="E17" s="3067" t="s">
        <v>1800</v>
      </c>
      <c r="F17" s="3068"/>
      <c r="G17" s="3068"/>
      <c r="H17" s="3068"/>
      <c r="I17" s="3069"/>
      <c r="J17" s="2011"/>
      <c r="K17" s="2071"/>
      <c r="L17" s="2066"/>
      <c r="M17" s="2066"/>
      <c r="N17" s="2067"/>
      <c r="O17" s="2066"/>
      <c r="P17" s="2067"/>
      <c r="Q17" s="2011"/>
      <c r="R17" s="2011"/>
      <c r="S17" s="2011"/>
      <c r="T17" s="2011"/>
      <c r="U17" s="2011"/>
      <c r="V17" s="2011"/>
    </row>
    <row r="18" spans="1:22" ht="36" customHeight="1" thickBot="1">
      <c r="A18" s="2072" t="s">
        <v>70</v>
      </c>
      <c r="B18" s="2020" t="s">
        <v>1801</v>
      </c>
      <c r="C18" s="1427">
        <f>'数据-汇总表'!D3</f>
        <v>0</v>
      </c>
      <c r="D18" s="2073" t="s">
        <v>1799</v>
      </c>
      <c r="E18" s="3070"/>
      <c r="F18" s="3071"/>
      <c r="G18" s="3071"/>
      <c r="H18" s="3071"/>
      <c r="I18" s="3072"/>
      <c r="J18" s="2011"/>
      <c r="K18" s="2071"/>
      <c r="L18" s="2066"/>
      <c r="M18" s="2066"/>
      <c r="N18" s="2067"/>
      <c r="O18" s="2066"/>
      <c r="P18" s="2067"/>
      <c r="Q18" s="2011"/>
      <c r="R18" s="2011"/>
      <c r="S18" s="2011"/>
      <c r="T18" s="2011"/>
      <c r="U18" s="2011"/>
      <c r="V18" s="2011"/>
    </row>
    <row r="19" spans="1:22" ht="37.5" customHeight="1" thickTop="1" thickBot="1">
      <c r="A19" s="364" t="s">
        <v>1802</v>
      </c>
      <c r="B19" s="343" t="s">
        <v>1803</v>
      </c>
      <c r="C19" s="2074"/>
      <c r="D19" s="2075" t="s">
        <v>1804</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1805</v>
      </c>
      <c r="B20" s="3057" t="s">
        <v>1806</v>
      </c>
      <c r="C20" s="3058"/>
      <c r="D20" s="3059" t="s">
        <v>1807</v>
      </c>
      <c r="E20" s="3060"/>
      <c r="F20" s="2080" t="s">
        <v>1808</v>
      </c>
      <c r="G20" s="2024"/>
      <c r="H20" s="2024"/>
      <c r="I20" s="2024"/>
      <c r="J20" s="2024"/>
      <c r="K20" s="3056" t="s">
        <v>1809</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1810</v>
      </c>
      <c r="C21" s="2082" t="s">
        <v>1811</v>
      </c>
      <c r="D21" s="2083" t="s">
        <v>1812</v>
      </c>
      <c r="E21" s="2084" t="s">
        <v>1811</v>
      </c>
      <c r="F21" s="2085"/>
      <c r="G21" s="2024"/>
      <c r="H21" s="2024"/>
      <c r="I21" s="2024"/>
      <c r="J21" s="2024"/>
      <c r="K21" s="3056"/>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1813</v>
      </c>
      <c r="C22" s="2082" t="s">
        <v>1814</v>
      </c>
      <c r="D22" s="2008"/>
      <c r="E22" s="2008"/>
      <c r="F22" s="2087"/>
      <c r="G22" s="2024"/>
      <c r="H22" s="2024"/>
      <c r="I22" s="2024"/>
      <c r="J22" s="2024"/>
      <c r="K22" s="3056"/>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1815</v>
      </c>
      <c r="B23" s="174" t="s">
        <v>1816</v>
      </c>
      <c r="C23" s="2089"/>
      <c r="D23" s="2090" t="s">
        <v>1816</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1817</v>
      </c>
      <c r="C24" s="2094"/>
      <c r="D24" s="2088" t="s">
        <v>1817</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1818</v>
      </c>
      <c r="C25" s="2094"/>
      <c r="D25" s="2088" t="s">
        <v>1818</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1819</v>
      </c>
      <c r="C26" s="2098"/>
      <c r="D26" s="2099" t="s">
        <v>1820</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74" t="s">
        <v>1821</v>
      </c>
      <c r="B27" s="2045" t="s">
        <v>1822</v>
      </c>
      <c r="C27" s="2102" t="s">
        <v>3102</v>
      </c>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74"/>
      <c r="B28" s="2017" t="s">
        <v>1823</v>
      </c>
      <c r="C28" s="2104" t="s">
        <v>3103</v>
      </c>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74"/>
      <c r="B29" s="2017" t="s">
        <v>1824</v>
      </c>
      <c r="C29" s="2107" t="s">
        <v>3082</v>
      </c>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75"/>
      <c r="B30" s="2017" t="s">
        <v>1825</v>
      </c>
      <c r="C30" s="3076"/>
      <c r="D30" s="3077"/>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78" t="s">
        <v>1826</v>
      </c>
      <c r="B31" s="2109" t="s">
        <v>3104</v>
      </c>
      <c r="C31" s="2110" t="str">
        <f>IF(B31="现房","成新及维护状况正常否",IF(B31="在建","工程状态是否正常",IF(B31="土地","是否闲置","-")))</f>
        <v>成新及维护状况正常否</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79"/>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79"/>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1827</v>
      </c>
      <c r="B34" s="2983" t="s">
        <v>3105</v>
      </c>
      <c r="C34" s="2983" t="s">
        <v>3106</v>
      </c>
      <c r="D34" s="2983" t="s">
        <v>3107</v>
      </c>
      <c r="E34" s="2983" t="s">
        <v>3108</v>
      </c>
      <c r="F34" s="2983" t="s">
        <v>3109</v>
      </c>
      <c r="G34" s="2983" t="s">
        <v>3110</v>
      </c>
      <c r="H34" s="2983" t="s">
        <v>70</v>
      </c>
      <c r="I34" s="2024"/>
      <c r="J34" s="2024"/>
      <c r="K34" s="1778">
        <f>COUNTIF(B34:H34,"——")</f>
        <v>1</v>
      </c>
      <c r="L34" s="2057" t="s">
        <v>1828</v>
      </c>
      <c r="M34" s="2057" t="s">
        <v>1829</v>
      </c>
      <c r="N34" s="2057" t="s">
        <v>1830</v>
      </c>
      <c r="O34" s="2057" t="s">
        <v>1831</v>
      </c>
      <c r="P34" s="2057" t="s">
        <v>1832</v>
      </c>
      <c r="Q34" s="2057" t="s">
        <v>1833</v>
      </c>
      <c r="R34" s="2057" t="s">
        <v>1834</v>
      </c>
      <c r="S34" s="3073" t="s">
        <v>1835</v>
      </c>
      <c r="T34" s="2116" t="str">
        <f>NUMBERSTRING(7-K34,1)&amp;"通"</f>
        <v>六通</v>
      </c>
      <c r="U34" s="2011"/>
      <c r="V34" s="2011"/>
    </row>
    <row r="35" spans="1:22" ht="18" customHeight="1">
      <c r="A35" s="2117"/>
      <c r="B35" s="3080" t="s">
        <v>1836</v>
      </c>
      <c r="C35" s="3080"/>
      <c r="D35" s="3080"/>
      <c r="E35" s="3080"/>
      <c r="F35" s="2118">
        <f>C10</f>
        <v>0</v>
      </c>
      <c r="G35" s="2024"/>
      <c r="H35" s="2024"/>
      <c r="I35" s="2024"/>
      <c r="J35" s="2024"/>
      <c r="K35" s="2057"/>
      <c r="L35" s="205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73"/>
      <c r="T35" s="48" t="str">
        <f>IF(T34="一通",L35,IF(T34="二通",M35,IF(T34="三通",N35,IF(T34="四通",O35,IF(T34="五通",P35,IF(T34="六通",Q35,R35))))))</f>
        <v>通路、通电、通上水、通下水、通讯、通热</v>
      </c>
      <c r="U35" s="2011"/>
      <c r="V35" s="2011"/>
    </row>
    <row r="36" spans="1:22" ht="18" customHeight="1">
      <c r="A36" s="2119"/>
      <c r="B36" s="2118" t="s">
        <v>1837</v>
      </c>
      <c r="C36" s="2118" t="s">
        <v>1838</v>
      </c>
      <c r="D36" s="2118" t="s">
        <v>1839</v>
      </c>
      <c r="E36" s="2118" t="s">
        <v>1840</v>
      </c>
      <c r="F36" s="2120"/>
      <c r="G36" s="2024"/>
      <c r="H36" s="2024"/>
      <c r="I36" s="2024"/>
      <c r="J36" s="2024"/>
      <c r="K36" s="2036"/>
      <c r="L36" s="2010"/>
      <c r="M36" s="2010"/>
      <c r="N36" s="2011"/>
      <c r="O36" s="2012"/>
      <c r="P36" s="2011"/>
      <c r="Q36" s="2011"/>
      <c r="R36" s="2011"/>
      <c r="S36" s="2011"/>
      <c r="T36" s="2011"/>
      <c r="U36" s="2011"/>
      <c r="V36" s="2011"/>
    </row>
    <row r="37" spans="1:22" ht="18" customHeight="1">
      <c r="A37" s="2121" t="s">
        <v>1841</v>
      </c>
      <c r="B37" s="2122"/>
      <c r="C37" s="2122"/>
      <c r="D37" s="2122"/>
      <c r="E37" s="2122"/>
      <c r="F37" s="2120"/>
      <c r="G37" s="2024"/>
      <c r="H37" s="2024"/>
      <c r="I37" s="2024"/>
      <c r="J37" s="2024"/>
      <c r="K37" s="2036"/>
      <c r="L37" s="2010"/>
      <c r="M37" s="2010"/>
      <c r="N37" s="2011"/>
      <c r="O37" s="2012"/>
      <c r="P37" s="2011"/>
      <c r="Q37" s="2011"/>
      <c r="R37" s="2011"/>
      <c r="S37" s="2011"/>
      <c r="T37" s="2011"/>
      <c r="U37" s="2011"/>
      <c r="V37" s="2011"/>
    </row>
    <row r="38" spans="1:22" ht="18" customHeight="1" thickBot="1">
      <c r="A38" s="2123" t="s">
        <v>1842</v>
      </c>
      <c r="B38" s="2124"/>
      <c r="C38" s="2124"/>
      <c r="D38" s="2124"/>
      <c r="E38" s="2124"/>
      <c r="F38" s="2125"/>
      <c r="G38" s="2044"/>
      <c r="H38" s="2044"/>
      <c r="I38" s="2044"/>
      <c r="J38" s="2024"/>
      <c r="K38" s="2036"/>
      <c r="L38" s="2010"/>
      <c r="M38" s="2010"/>
      <c r="N38" s="2011"/>
      <c r="O38" s="2012"/>
      <c r="P38" s="2011"/>
      <c r="Q38" s="2011"/>
      <c r="R38" s="2011"/>
      <c r="S38" s="2011"/>
      <c r="T38" s="2011"/>
      <c r="U38" s="2011"/>
      <c r="V38" s="2011"/>
    </row>
    <row r="39" spans="1:22" s="2130" customFormat="1" ht="18" customHeight="1" thickTop="1" thickBot="1">
      <c r="A39" s="2126" t="s">
        <v>1843</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1"/>
      <c r="B40" s="2011"/>
      <c r="C40" s="2011"/>
      <c r="D40" s="2011"/>
      <c r="E40" s="2011"/>
      <c r="F40" s="2011"/>
      <c r="G40" s="2011"/>
      <c r="H40" s="2011"/>
      <c r="I40" s="2131"/>
      <c r="J40" s="2067"/>
      <c r="K40" s="655"/>
      <c r="L40" s="2066"/>
      <c r="M40" s="2066"/>
      <c r="N40" s="2067"/>
      <c r="O40" s="2066"/>
      <c r="P40" s="2011"/>
      <c r="Q40" s="2011"/>
      <c r="R40" s="2011"/>
      <c r="S40" s="2011"/>
      <c r="T40" s="2011"/>
      <c r="U40" s="2011"/>
      <c r="V40" s="2011"/>
    </row>
    <row r="41" spans="1:22" ht="18" customHeight="1">
      <c r="A41" s="8" t="s">
        <v>1844</v>
      </c>
      <c r="B41" s="2132"/>
      <c r="C41" s="2133"/>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1845</v>
      </c>
      <c r="B42" s="1778" t="s">
        <v>1846</v>
      </c>
      <c r="C42" s="1778" t="s">
        <v>1847</v>
      </c>
      <c r="D42" s="1778" t="s">
        <v>1848</v>
      </c>
      <c r="E42" s="1778" t="s">
        <v>1849</v>
      </c>
      <c r="F42" s="1778" t="s">
        <v>1850</v>
      </c>
      <c r="G42" s="1778" t="s">
        <v>1851</v>
      </c>
      <c r="H42" s="1778" t="s">
        <v>1852</v>
      </c>
      <c r="I42" s="1778" t="s">
        <v>1853</v>
      </c>
      <c r="J42" s="2134" t="s">
        <v>1854</v>
      </c>
      <c r="K42" s="2058" t="s">
        <v>1855</v>
      </c>
      <c r="L42" s="2058" t="s">
        <v>1856</v>
      </c>
      <c r="M42" s="2058" t="s">
        <v>1857</v>
      </c>
      <c r="N42" s="1778" t="s">
        <v>1858</v>
      </c>
      <c r="O42" s="1778" t="s">
        <v>1859</v>
      </c>
      <c r="P42" s="1778" t="s">
        <v>1860</v>
      </c>
      <c r="Q42" s="2057" t="s">
        <v>1861</v>
      </c>
      <c r="R42" s="2057" t="s">
        <v>1862</v>
      </c>
      <c r="S42" s="2011"/>
      <c r="T42" s="2011"/>
      <c r="U42" s="2011"/>
      <c r="V42" s="2011"/>
    </row>
    <row r="43" spans="1:22" s="2139" customFormat="1" ht="18" customHeight="1">
      <c r="A43" s="2135"/>
      <c r="B43" s="1255"/>
      <c r="C43" s="1255"/>
      <c r="D43" s="1255"/>
      <c r="E43" s="1255"/>
      <c r="F43" s="1255"/>
      <c r="G43" s="1255"/>
      <c r="H43" s="9"/>
      <c r="I43" s="9"/>
      <c r="J43" s="2136"/>
      <c r="K43" s="2137"/>
      <c r="L43" s="2137"/>
      <c r="M43" s="9"/>
      <c r="N43" s="1255"/>
      <c r="O43" s="9"/>
      <c r="P43" s="1255"/>
      <c r="Q43" s="1255"/>
      <c r="R43" s="1255"/>
      <c r="S43" s="2138"/>
      <c r="T43" s="2138"/>
      <c r="U43" s="2138"/>
      <c r="V43" s="2138"/>
    </row>
    <row r="44" spans="1:22" s="2139" customFormat="1" ht="18" customHeight="1">
      <c r="A44" s="2135"/>
      <c r="B44" s="2135"/>
      <c r="C44" s="1255"/>
      <c r="D44" s="1255"/>
      <c r="E44" s="1255"/>
      <c r="F44" s="1255"/>
      <c r="G44" s="1255"/>
      <c r="H44" s="9"/>
      <c r="I44" s="9"/>
      <c r="J44" s="2136"/>
      <c r="K44" s="2137"/>
      <c r="L44" s="2137"/>
      <c r="M44" s="9"/>
      <c r="N44" s="1255"/>
      <c r="O44" s="9"/>
      <c r="P44" s="1255"/>
      <c r="Q44" s="1255"/>
      <c r="R44" s="1255"/>
      <c r="S44" s="2138"/>
      <c r="T44" s="2138"/>
      <c r="U44" s="2138"/>
      <c r="V44" s="2138"/>
    </row>
    <row r="45" spans="1:22" s="2139" customFormat="1" ht="18" customHeight="1">
      <c r="A45" s="2135"/>
      <c r="B45" s="2135"/>
      <c r="C45" s="1255"/>
      <c r="D45" s="1255"/>
      <c r="E45" s="1255"/>
      <c r="F45" s="1255"/>
      <c r="G45" s="1255"/>
      <c r="H45" s="9"/>
      <c r="I45" s="9"/>
      <c r="J45" s="2136"/>
      <c r="K45" s="2137"/>
      <c r="L45" s="2137"/>
      <c r="M45" s="9"/>
      <c r="N45" s="1255"/>
      <c r="O45" s="9"/>
      <c r="P45" s="1255"/>
      <c r="Q45" s="1255"/>
      <c r="R45" s="1255"/>
      <c r="S45" s="2138"/>
      <c r="T45" s="2138"/>
      <c r="U45" s="2138"/>
      <c r="V45" s="2138"/>
    </row>
    <row r="46" spans="1:22" s="2139" customFormat="1" ht="18" customHeight="1">
      <c r="A46" s="2135"/>
      <c r="B46" s="2135"/>
      <c r="C46" s="1255"/>
      <c r="D46" s="1255"/>
      <c r="E46" s="1255"/>
      <c r="F46" s="1255"/>
      <c r="G46" s="1255"/>
      <c r="H46" s="9"/>
      <c r="I46" s="9"/>
      <c r="J46" s="2136"/>
      <c r="K46" s="2137"/>
      <c r="L46" s="2137"/>
      <c r="M46" s="9"/>
      <c r="N46" s="1255"/>
      <c r="O46" s="9"/>
      <c r="P46" s="1255"/>
      <c r="Q46" s="1255"/>
      <c r="R46" s="1255"/>
      <c r="S46" s="2138"/>
      <c r="T46" s="2138"/>
      <c r="U46" s="2138"/>
      <c r="V46" s="2138"/>
    </row>
    <row r="47" spans="1:22" s="2139" customFormat="1" ht="18" customHeight="1">
      <c r="A47" s="2135"/>
      <c r="B47" s="2135"/>
      <c r="C47" s="1255"/>
      <c r="D47" s="1255"/>
      <c r="E47" s="1255"/>
      <c r="F47" s="1255"/>
      <c r="G47" s="1255"/>
      <c r="H47" s="9"/>
      <c r="I47" s="9"/>
      <c r="J47" s="2136"/>
      <c r="K47" s="2137"/>
      <c r="L47" s="2137"/>
      <c r="M47" s="9"/>
      <c r="N47" s="1255"/>
      <c r="O47" s="9"/>
      <c r="P47" s="1255"/>
      <c r="Q47" s="1255"/>
      <c r="R47" s="1255"/>
      <c r="S47" s="2138"/>
      <c r="T47" s="2138"/>
      <c r="U47" s="2138"/>
      <c r="V47" s="2138"/>
    </row>
    <row r="48" spans="1:22" s="2139" customFormat="1" ht="18" customHeight="1">
      <c r="A48" s="2135"/>
      <c r="B48" s="2135"/>
      <c r="C48" s="1255"/>
      <c r="D48" s="1255"/>
      <c r="E48" s="1255"/>
      <c r="F48" s="1255"/>
      <c r="G48" s="1255"/>
      <c r="H48" s="9"/>
      <c r="I48" s="9"/>
      <c r="J48" s="2136"/>
      <c r="K48" s="2137"/>
      <c r="L48" s="2137"/>
      <c r="M48" s="9"/>
      <c r="N48" s="1255"/>
      <c r="O48" s="9"/>
      <c r="P48" s="1255"/>
      <c r="Q48" s="1255"/>
      <c r="R48" s="1255"/>
      <c r="S48" s="2138"/>
      <c r="T48" s="2138"/>
      <c r="U48" s="2138"/>
      <c r="V48" s="2138"/>
    </row>
    <row r="49" spans="1:22" s="2139" customFormat="1" ht="18" customHeight="1">
      <c r="A49" s="2135"/>
      <c r="B49" s="2135"/>
      <c r="C49" s="1255"/>
      <c r="D49" s="1255"/>
      <c r="E49" s="1255"/>
      <c r="F49" s="1255"/>
      <c r="G49" s="1255"/>
      <c r="H49" s="9"/>
      <c r="I49" s="9"/>
      <c r="J49" s="2136"/>
      <c r="K49" s="2137"/>
      <c r="L49" s="2137"/>
      <c r="M49" s="9"/>
      <c r="N49" s="1255"/>
      <c r="O49" s="9"/>
      <c r="P49" s="1255"/>
      <c r="Q49" s="1255"/>
      <c r="R49" s="1255"/>
      <c r="S49" s="2138"/>
      <c r="T49" s="2138"/>
      <c r="U49" s="2138"/>
      <c r="V49" s="2138"/>
    </row>
    <row r="50" spans="1:22" s="2139" customFormat="1" ht="18" customHeight="1">
      <c r="A50" s="2135"/>
      <c r="B50" s="2135"/>
      <c r="C50" s="1255"/>
      <c r="D50" s="1255"/>
      <c r="E50" s="1255"/>
      <c r="F50" s="1255"/>
      <c r="G50" s="1255"/>
      <c r="H50" s="9"/>
      <c r="I50" s="9"/>
      <c r="J50" s="2136"/>
      <c r="K50" s="2137"/>
      <c r="L50" s="2137"/>
      <c r="M50" s="9"/>
      <c r="N50" s="1255"/>
      <c r="O50" s="9"/>
      <c r="P50" s="1255"/>
      <c r="Q50" s="1255"/>
      <c r="R50" s="1255"/>
      <c r="S50" s="2138"/>
      <c r="T50" s="2138"/>
      <c r="U50" s="2138"/>
      <c r="V50" s="2138"/>
    </row>
    <row r="51" spans="1:22" s="2139" customFormat="1" ht="18" customHeight="1">
      <c r="A51" s="2135"/>
      <c r="B51" s="2135"/>
      <c r="C51" s="1255"/>
      <c r="D51" s="1255"/>
      <c r="E51" s="1255"/>
      <c r="F51" s="1255"/>
      <c r="G51" s="1255"/>
      <c r="H51" s="9"/>
      <c r="I51" s="9"/>
      <c r="J51" s="2136"/>
      <c r="K51" s="2137"/>
      <c r="L51" s="2137"/>
      <c r="M51" s="9"/>
      <c r="N51" s="1255"/>
      <c r="O51" s="9"/>
      <c r="P51" s="1255"/>
      <c r="Q51" s="1255"/>
      <c r="R51" s="1255"/>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41" customWidth="1"/>
    <col min="2" max="2" width="11" style="2141" customWidth="1"/>
    <col min="3" max="3" width="10.375" style="2141" customWidth="1"/>
    <col min="4" max="4" width="9.125" style="2141" customWidth="1"/>
    <col min="5" max="6" width="10" style="2204" customWidth="1"/>
    <col min="7" max="8" width="10" style="2141" customWidth="1"/>
    <col min="9" max="9" width="10.625" style="2141" customWidth="1"/>
    <col min="10" max="10" width="9.5" style="2141" customWidth="1"/>
    <col min="11" max="11" width="11" style="2141" customWidth="1"/>
    <col min="12" max="14" width="9.5" style="2141" customWidth="1"/>
    <col min="15" max="15" width="9.875" style="2141" customWidth="1"/>
    <col min="16" max="16" width="9.75" style="2141" customWidth="1"/>
    <col min="17" max="17" width="9.375" style="2141" customWidth="1"/>
    <col min="18" max="18" width="9.25" style="2141" customWidth="1"/>
    <col min="19" max="19" width="10.875" style="2141" customWidth="1"/>
    <col min="20" max="21" width="10.75" style="2141" customWidth="1"/>
    <col min="22" max="22" width="10.875" style="2141" customWidth="1"/>
    <col min="23" max="27" width="10.75" style="2141" customWidth="1"/>
    <col min="28" max="28" width="10.875" style="2141" customWidth="1"/>
    <col min="29" max="29" width="11" style="2141" bestFit="1" customWidth="1"/>
    <col min="30" max="30" width="10" style="2141" bestFit="1" customWidth="1"/>
    <col min="31" max="31" width="9.75" style="2141" customWidth="1"/>
    <col min="32" max="46" width="9.5" style="2141" customWidth="1"/>
    <col min="47" max="47" width="18.125" style="2141" customWidth="1"/>
    <col min="48" max="50" width="9.75" style="2141" customWidth="1"/>
    <col min="51" max="55" width="10.5" style="2141" bestFit="1" customWidth="1"/>
    <col min="56" max="56" width="9.5" style="2141" bestFit="1" customWidth="1"/>
    <col min="57" max="63" width="9.125" style="2141" bestFit="1" customWidth="1"/>
    <col min="64" max="64" width="9.5" style="2141" bestFit="1" customWidth="1"/>
    <col min="65" max="65" width="9.125" style="2141" bestFit="1" customWidth="1"/>
    <col min="66" max="66" width="9.5" style="2141" bestFit="1" customWidth="1"/>
    <col min="67" max="69" width="9.125" style="2141" bestFit="1" customWidth="1"/>
    <col min="70" max="70" width="9.5" style="2141" bestFit="1" customWidth="1"/>
    <col min="71" max="71" width="9" style="2141" customWidth="1"/>
    <col min="72" max="72" width="9.125" style="2141" bestFit="1" customWidth="1"/>
    <col min="73" max="16384" width="8.875" style="2141"/>
  </cols>
  <sheetData>
    <row r="1" spans="1:72" ht="20.25">
      <c r="A1" s="2144" t="s">
        <v>1863</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5" t="s">
        <v>1864</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49" customFormat="1" ht="24">
      <c r="A2" s="11" t="s">
        <v>1865</v>
      </c>
      <c r="B2" s="11" t="s">
        <v>1866</v>
      </c>
      <c r="C2" s="11" t="s">
        <v>1867</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52" t="s">
        <v>1868</v>
      </c>
      <c r="AZ2" s="1253" t="s">
        <v>1869</v>
      </c>
      <c r="BA2" s="11" t="s">
        <v>1870</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2.75">
      <c r="A3" s="13"/>
      <c r="B3" s="14">
        <f>IF(C3="否",G5-AT5,G5)</f>
        <v>1266.6499999999999</v>
      </c>
      <c r="C3" s="2150" t="s">
        <v>1871</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54"/>
      <c r="AZ3" s="1255"/>
      <c r="BA3" s="1256"/>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ht="13.5"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2.75">
      <c r="A5" s="15" t="s">
        <v>1872</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1872</v>
      </c>
      <c r="AW5" s="1786"/>
      <c r="AX5" s="1786"/>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2.75">
      <c r="A6" s="15" t="s">
        <v>1873</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1873</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4.75">
      <c r="A7" s="2092" t="s">
        <v>1874</v>
      </c>
      <c r="B7" s="2092" t="s">
        <v>1875</v>
      </c>
      <c r="C7" s="2092" t="s">
        <v>1876</v>
      </c>
      <c r="D7" s="2092" t="s">
        <v>1877</v>
      </c>
      <c r="E7" s="2092" t="s">
        <v>1878</v>
      </c>
      <c r="F7" s="2092" t="s">
        <v>1879</v>
      </c>
      <c r="G7" s="2160" t="s">
        <v>1880</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9"/>
      <c r="AU7" s="2161" t="s">
        <v>1881</v>
      </c>
      <c r="AV7" s="23" t="s">
        <v>1882</v>
      </c>
      <c r="AW7" s="2148" t="s">
        <v>1883</v>
      </c>
      <c r="AX7" s="23" t="s">
        <v>1876</v>
      </c>
      <c r="AY7" s="1786" t="s">
        <v>1884</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1885</v>
      </c>
      <c r="H8" s="2166" t="s">
        <v>1886</v>
      </c>
      <c r="I8" s="2167"/>
      <c r="J8" s="1801"/>
      <c r="K8" s="1801"/>
      <c r="L8" s="1801"/>
      <c r="M8" s="1801"/>
      <c r="N8" s="1801"/>
      <c r="O8" s="1801"/>
      <c r="P8" s="1801"/>
      <c r="Q8" s="1801"/>
      <c r="R8" s="1801"/>
      <c r="S8" s="1801"/>
      <c r="T8" s="1801"/>
      <c r="U8" s="1801"/>
      <c r="V8" s="2168"/>
      <c r="W8" s="1801"/>
      <c r="X8" s="1801"/>
      <c r="Y8" s="1801"/>
      <c r="Z8" s="1801"/>
      <c r="AA8" s="2168"/>
      <c r="AB8" s="2169"/>
      <c r="AC8" s="964" t="s">
        <v>1887</v>
      </c>
      <c r="AD8" s="2170"/>
      <c r="AE8" s="2162"/>
      <c r="AF8" s="1801"/>
      <c r="AG8" s="1801"/>
      <c r="AH8" s="1801"/>
      <c r="AI8" s="1801"/>
      <c r="AJ8" s="1801"/>
      <c r="AK8" s="1801"/>
      <c r="AL8" s="1801"/>
      <c r="AM8" s="1801"/>
      <c r="AN8" s="1801"/>
      <c r="AO8" s="1801"/>
      <c r="AP8" s="1801"/>
      <c r="AQ8" s="1801"/>
      <c r="AR8" s="1801"/>
      <c r="AS8" s="1801"/>
      <c r="AT8" s="1275" t="s">
        <v>1888</v>
      </c>
      <c r="AU8" s="2164" t="s">
        <v>1889</v>
      </c>
      <c r="AV8" s="1275"/>
      <c r="AW8" s="2147"/>
      <c r="AX8" s="1275"/>
      <c r="AY8" s="2148" t="s">
        <v>1890</v>
      </c>
      <c r="AZ8" s="1800" t="s">
        <v>1891</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1" customFormat="1" ht="12.75">
      <c r="A9" s="2164"/>
      <c r="B9" s="2164"/>
      <c r="C9" s="2164"/>
      <c r="D9" s="2164"/>
      <c r="E9" s="2164"/>
      <c r="F9" s="2164"/>
      <c r="G9" s="1275"/>
      <c r="H9" s="2172" t="s">
        <v>1892</v>
      </c>
      <c r="I9" s="2173" t="s">
        <v>3048</v>
      </c>
      <c r="J9" s="964"/>
      <c r="K9" s="2173"/>
      <c r="L9" s="964"/>
      <c r="M9" s="2173"/>
      <c r="N9" s="964"/>
      <c r="O9" s="2173"/>
      <c r="P9" s="964"/>
      <c r="Q9" s="2173"/>
      <c r="R9" s="964"/>
      <c r="S9" s="2173"/>
      <c r="T9" s="964"/>
      <c r="U9" s="2173"/>
      <c r="V9" s="964"/>
      <c r="W9" s="2173"/>
      <c r="X9" s="2174"/>
      <c r="Y9" s="2173"/>
      <c r="Z9" s="964"/>
      <c r="AA9" s="2173"/>
      <c r="AB9" s="964"/>
      <c r="AC9" s="2165" t="s">
        <v>1892</v>
      </c>
      <c r="AD9" s="15" t="s">
        <v>1893</v>
      </c>
      <c r="AE9" s="1281"/>
      <c r="AF9" s="15" t="s">
        <v>1894</v>
      </c>
      <c r="AG9" s="1281"/>
      <c r="AH9" s="15" t="s">
        <v>1893</v>
      </c>
      <c r="AI9" s="1281"/>
      <c r="AJ9" s="15" t="s">
        <v>1894</v>
      </c>
      <c r="AK9" s="1281"/>
      <c r="AL9" s="15" t="s">
        <v>1893</v>
      </c>
      <c r="AM9" s="1281"/>
      <c r="AN9" s="15" t="s">
        <v>1894</v>
      </c>
      <c r="AO9" s="1281"/>
      <c r="AP9" s="15" t="s">
        <v>1893</v>
      </c>
      <c r="AQ9" s="1281"/>
      <c r="AR9" s="15" t="s">
        <v>1894</v>
      </c>
      <c r="AS9" s="2175"/>
      <c r="AT9" s="2164"/>
      <c r="AU9" s="2164" t="s">
        <v>1895</v>
      </c>
      <c r="AV9" s="1275"/>
      <c r="AW9" s="2147"/>
      <c r="AX9" s="1275"/>
      <c r="AY9" s="28"/>
      <c r="AZ9" s="28" t="s">
        <v>1885</v>
      </c>
      <c r="BA9" s="2176" t="s">
        <v>1896</v>
      </c>
      <c r="BB9" s="2177"/>
      <c r="BC9" s="1321"/>
      <c r="BD9" s="1321"/>
      <c r="BE9" s="1321"/>
      <c r="BF9" s="1321"/>
      <c r="BG9" s="1321"/>
      <c r="BH9" s="1321"/>
      <c r="BI9" s="1321"/>
      <c r="BJ9" s="1321"/>
      <c r="BK9" s="2178"/>
      <c r="BL9" s="15" t="s">
        <v>1897</v>
      </c>
      <c r="BM9" s="1801"/>
      <c r="BN9" s="2167"/>
      <c r="BO9" s="1801"/>
      <c r="BP9" s="1801"/>
      <c r="BQ9" s="1801"/>
      <c r="BR9" s="1801"/>
      <c r="BS9" s="1801"/>
      <c r="BT9" s="26"/>
    </row>
    <row r="10" spans="1:72" s="2171" customFormat="1" ht="12.75">
      <c r="A10" s="2164"/>
      <c r="B10" s="2164"/>
      <c r="C10" s="2164"/>
      <c r="D10" s="2164"/>
      <c r="E10" s="2164"/>
      <c r="F10" s="2164"/>
      <c r="G10" s="1275"/>
      <c r="H10" s="28"/>
      <c r="I10" s="2173" t="s">
        <v>27</v>
      </c>
      <c r="J10" s="964"/>
      <c r="K10" s="2179"/>
      <c r="L10" s="964"/>
      <c r="M10" s="2179"/>
      <c r="N10" s="964"/>
      <c r="O10" s="2179"/>
      <c r="P10" s="964"/>
      <c r="Q10" s="2179"/>
      <c r="R10" s="964"/>
      <c r="S10" s="2179"/>
      <c r="T10" s="964"/>
      <c r="U10" s="2179"/>
      <c r="V10" s="964"/>
      <c r="W10" s="2179"/>
      <c r="X10" s="964"/>
      <c r="Y10" s="2179"/>
      <c r="Z10" s="964"/>
      <c r="AA10" s="2179"/>
      <c r="AB10" s="964"/>
      <c r="AC10" s="1275"/>
      <c r="AD10" s="15" t="s">
        <v>1898</v>
      </c>
      <c r="AE10" s="2180"/>
      <c r="AF10" s="15" t="s">
        <v>1898</v>
      </c>
      <c r="AG10" s="2180"/>
      <c r="AH10" s="15" t="s">
        <v>1899</v>
      </c>
      <c r="AI10" s="2180"/>
      <c r="AJ10" s="15" t="s">
        <v>1899</v>
      </c>
      <c r="AK10" s="2180"/>
      <c r="AL10" s="15" t="s">
        <v>1900</v>
      </c>
      <c r="AM10" s="1281"/>
      <c r="AN10" s="15" t="s">
        <v>1900</v>
      </c>
      <c r="AO10" s="1281"/>
      <c r="AP10" s="15" t="s">
        <v>1901</v>
      </c>
      <c r="AQ10" s="1281"/>
      <c r="AR10" s="15" t="s">
        <v>1901</v>
      </c>
      <c r="AS10" s="1281"/>
      <c r="AT10" s="2164"/>
      <c r="AU10" s="2164"/>
      <c r="AV10" s="1275"/>
      <c r="AW10" s="2147"/>
      <c r="AX10" s="1275"/>
      <c r="AY10" s="28"/>
      <c r="AZ10" s="28"/>
      <c r="BA10" s="2181" t="s">
        <v>1892</v>
      </c>
      <c r="BB10" s="2182" t="str">
        <f>I9</f>
        <v>地上</v>
      </c>
      <c r="BC10" s="29">
        <f>K9</f>
        <v>0</v>
      </c>
      <c r="BD10" s="29">
        <f>M9</f>
        <v>0</v>
      </c>
      <c r="BE10" s="29">
        <f>O9</f>
        <v>0</v>
      </c>
      <c r="BF10" s="29">
        <f>Q9</f>
        <v>0</v>
      </c>
      <c r="BG10" s="29">
        <f>S9</f>
        <v>0</v>
      </c>
      <c r="BH10" s="29">
        <f>U9</f>
        <v>0</v>
      </c>
      <c r="BI10" s="29">
        <f>W9</f>
        <v>0</v>
      </c>
      <c r="BJ10" s="29">
        <f>Y9</f>
        <v>0</v>
      </c>
      <c r="BK10" s="29">
        <f>AA9</f>
        <v>0</v>
      </c>
      <c r="BL10" s="25" t="s">
        <v>1892</v>
      </c>
      <c r="BM10" s="1800" t="str">
        <f>AD9</f>
        <v>地上</v>
      </c>
      <c r="BN10" s="29" t="str">
        <f>AF9</f>
        <v>地下</v>
      </c>
      <c r="BO10" s="1800" t="str">
        <f>AH9</f>
        <v>地上</v>
      </c>
      <c r="BP10" s="29" t="str">
        <f>AJ9</f>
        <v>地下</v>
      </c>
      <c r="BQ10" s="1800" t="str">
        <f>AL9</f>
        <v>地上</v>
      </c>
      <c r="BR10" s="29" t="str">
        <f>AN9</f>
        <v>地下</v>
      </c>
      <c r="BS10" s="1800" t="str">
        <f>AP9</f>
        <v>地上</v>
      </c>
      <c r="BT10" s="2183" t="str">
        <f>AR9</f>
        <v>地下</v>
      </c>
    </row>
    <row r="11" spans="1:72" s="2171" customFormat="1" ht="12.75">
      <c r="A11" s="2164"/>
      <c r="B11" s="2164"/>
      <c r="C11" s="2164"/>
      <c r="D11" s="2164"/>
      <c r="E11" s="2164"/>
      <c r="F11" s="2164"/>
      <c r="G11" s="1275"/>
      <c r="H11" s="2181"/>
      <c r="I11" s="2184" t="s">
        <v>3049</v>
      </c>
      <c r="J11" s="2185"/>
      <c r="K11" s="2184"/>
      <c r="L11" s="2185"/>
      <c r="M11" s="2184"/>
      <c r="N11" s="2185"/>
      <c r="O11" s="2184"/>
      <c r="P11" s="2185"/>
      <c r="Q11" s="2184"/>
      <c r="R11" s="2185"/>
      <c r="S11" s="2184"/>
      <c r="T11" s="2185"/>
      <c r="U11" s="2184"/>
      <c r="V11" s="2185"/>
      <c r="W11" s="2184"/>
      <c r="X11" s="2185"/>
      <c r="Y11" s="2184"/>
      <c r="Z11" s="2185"/>
      <c r="AA11" s="2184"/>
      <c r="AB11" s="2185"/>
      <c r="AC11" s="1275"/>
      <c r="AD11" s="2186" t="s">
        <v>1902</v>
      </c>
      <c r="AE11" s="1802"/>
      <c r="AF11" s="2186" t="s">
        <v>1902</v>
      </c>
      <c r="AG11" s="1802"/>
      <c r="AH11" s="2186" t="s">
        <v>1903</v>
      </c>
      <c r="AI11" s="2187"/>
      <c r="AJ11" s="2186" t="s">
        <v>1903</v>
      </c>
      <c r="AK11" s="1802"/>
      <c r="AL11" s="1800"/>
      <c r="AM11" s="1802"/>
      <c r="AN11" s="1800"/>
      <c r="AO11" s="1802"/>
      <c r="AP11" s="1800"/>
      <c r="AQ11" s="1802"/>
      <c r="AR11" s="1800"/>
      <c r="AS11" s="1802"/>
      <c r="AT11" s="2147"/>
      <c r="AU11" s="2164"/>
      <c r="AV11" s="1275"/>
      <c r="AW11" s="2147"/>
      <c r="AX11" s="1275"/>
      <c r="AY11" s="28"/>
      <c r="AZ11" s="28"/>
      <c r="BA11" s="28"/>
      <c r="BB11" s="2169" t="str">
        <f>I10</f>
        <v>办公</v>
      </c>
      <c r="BC11" s="2169">
        <f>K10</f>
        <v>0</v>
      </c>
      <c r="BD11" s="2169">
        <f>M10</f>
        <v>0</v>
      </c>
      <c r="BE11" s="2169">
        <f>O10</f>
        <v>0</v>
      </c>
      <c r="BF11" s="2169">
        <f>Q10</f>
        <v>0</v>
      </c>
      <c r="BG11" s="2169">
        <f>S10</f>
        <v>0</v>
      </c>
      <c r="BH11" s="2169">
        <f>U10</f>
        <v>0</v>
      </c>
      <c r="BI11" s="2169">
        <f>W10</f>
        <v>0</v>
      </c>
      <c r="BJ11" s="2169">
        <f>Y10</f>
        <v>0</v>
      </c>
      <c r="BK11" s="2169">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2.75">
      <c r="A12" s="2189"/>
      <c r="B12" s="2189"/>
      <c r="C12" s="2189"/>
      <c r="D12" s="2189"/>
      <c r="E12" s="2189"/>
      <c r="F12" s="2189"/>
      <c r="G12" s="30"/>
      <c r="H12" s="2190"/>
      <c r="I12" s="178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85" t="s">
        <v>1905</v>
      </c>
      <c r="W12" s="11" t="s">
        <v>1904</v>
      </c>
      <c r="X12" s="11" t="s">
        <v>1905</v>
      </c>
      <c r="Y12" s="11" t="s">
        <v>1904</v>
      </c>
      <c r="Z12" s="11" t="s">
        <v>1905</v>
      </c>
      <c r="AA12" s="11" t="s">
        <v>1904</v>
      </c>
      <c r="AB12" s="11" t="s">
        <v>1905</v>
      </c>
      <c r="AC12" s="2191"/>
      <c r="AD12" s="178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89" t="s">
        <v>1905</v>
      </c>
      <c r="AT12" s="2192"/>
      <c r="AU12" s="2189"/>
      <c r="AV12" s="31"/>
      <c r="AW12" s="2148"/>
      <c r="AX12" s="31"/>
      <c r="AY12" s="2193"/>
      <c r="AZ12" s="28"/>
      <c r="BA12" s="2181"/>
      <c r="BB12" s="24" t="str">
        <f>I11</f>
        <v>底商</v>
      </c>
      <c r="BC12" s="2194">
        <f>K11</f>
        <v>0</v>
      </c>
      <c r="BD12" s="2194">
        <f>M11</f>
        <v>0</v>
      </c>
      <c r="BE12" s="2169">
        <f>O11</f>
        <v>0</v>
      </c>
      <c r="BF12" s="2169">
        <f>Q11</f>
        <v>0</v>
      </c>
      <c r="BG12" s="2169">
        <f>S11</f>
        <v>0</v>
      </c>
      <c r="BH12" s="2169">
        <f>U11</f>
        <v>0</v>
      </c>
      <c r="BI12" s="2169">
        <f>W11</f>
        <v>0</v>
      </c>
      <c r="BJ12" s="2169">
        <f>Y11</f>
        <v>0</v>
      </c>
      <c r="BK12" s="2169">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8">
        <f>AR11</f>
        <v>0</v>
      </c>
    </row>
    <row r="13" spans="1:72" s="2149" customFormat="1" ht="12.75">
      <c r="A13" s="1255"/>
      <c r="B13" s="1255"/>
      <c r="C13" s="2937">
        <v>101</v>
      </c>
      <c r="D13" s="2195" t="s">
        <v>3046</v>
      </c>
      <c r="E13" s="16">
        <f>IF($C$3="是",ROUND($A$3*G13/$B$3,2),ROUND($A$3*(G13-AT13)/$B$3,2))</f>
        <v>0</v>
      </c>
      <c r="F13" s="32"/>
      <c r="G13" s="33">
        <f>H13+AC13+AT13</f>
        <v>125.74</v>
      </c>
      <c r="H13" s="20">
        <f>SUMIF(I$12:AB$12,"总值",I13:AB13)</f>
        <v>125.74</v>
      </c>
      <c r="I13" s="2939">
        <v>125.74</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2.75">
      <c r="A14" s="1255"/>
      <c r="B14" s="1255"/>
      <c r="C14" s="2937">
        <v>102</v>
      </c>
      <c r="D14" s="2195" t="s">
        <v>3046</v>
      </c>
      <c r="E14" s="16">
        <f>IF($C$3="是",ROUND($A$3*G14/$B$3,2),ROUND($A$3*(G14-AT14)/$B$3,2))</f>
        <v>0</v>
      </c>
      <c r="F14" s="32"/>
      <c r="G14" s="33">
        <f>H14+AC14+AT14</f>
        <v>138.44999999999999</v>
      </c>
      <c r="H14" s="20">
        <f>SUMIF(I$12:AB$12,"总值",I14:AB14)</f>
        <v>138.44999999999999</v>
      </c>
      <c r="I14" s="2939">
        <v>138.44999999999999</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f t="shared" si="6"/>
        <v>102</v>
      </c>
      <c r="AY14" s="1789">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2.75">
      <c r="A15" s="1255"/>
      <c r="B15" s="1255"/>
      <c r="C15" s="2937">
        <v>103</v>
      </c>
      <c r="D15" s="2195" t="s">
        <v>3046</v>
      </c>
      <c r="E15" s="16">
        <f>IF($C$3="是",ROUND($A$3*G15/$B$3,2),ROUND($A$3*(G15-AT15)/$B$3,2))</f>
        <v>0</v>
      </c>
      <c r="F15" s="32"/>
      <c r="G15" s="33">
        <f>H15+AC15+AT15</f>
        <v>137.61000000000001</v>
      </c>
      <c r="H15" s="20">
        <f>SUMIF(I$12:AB$12,"总值",I15:AB15)</f>
        <v>137.61000000000001</v>
      </c>
      <c r="I15" s="2939">
        <v>137.61000000000001</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f t="shared" si="6"/>
        <v>103</v>
      </c>
      <c r="AY15" s="1789">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2.75">
      <c r="A16" s="1255"/>
      <c r="B16" s="1255"/>
      <c r="C16" s="2937">
        <v>104</v>
      </c>
      <c r="D16" s="2195" t="s">
        <v>3046</v>
      </c>
      <c r="E16" s="16">
        <f>IF($C$3="是",ROUND($A$3*G16/$B$3,2),ROUND($A$3*(G16-AT16)/$B$3,2))</f>
        <v>0</v>
      </c>
      <c r="F16" s="32"/>
      <c r="G16" s="33">
        <f>H16+AC16+AT16</f>
        <v>121.22</v>
      </c>
      <c r="H16" s="20">
        <f>SUMIF(I$12:AB$12,"总值",I16:AB16)</f>
        <v>121.22</v>
      </c>
      <c r="I16" s="2939">
        <v>121.22</v>
      </c>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104</v>
      </c>
      <c r="AY16" s="1789">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2.75">
      <c r="A17" s="1255"/>
      <c r="B17" s="1255"/>
      <c r="C17" s="2937">
        <v>105</v>
      </c>
      <c r="D17" s="2195" t="s">
        <v>3046</v>
      </c>
      <c r="E17" s="16">
        <f>IF($C$3="是",ROUND($A$3*G17/$B$3,2),ROUND($A$3*(G17-AT17)/$B$3,2))</f>
        <v>0</v>
      </c>
      <c r="F17" s="32"/>
      <c r="G17" s="33">
        <f>H17+AC17+AT17</f>
        <v>72.12</v>
      </c>
      <c r="H17" s="20">
        <f>SUMIF(I$12:AB$12,"总值",I17:AB17)</f>
        <v>72.12</v>
      </c>
      <c r="I17" s="2939">
        <v>72.12</v>
      </c>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105</v>
      </c>
      <c r="AY17" s="1789">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v>106</v>
      </c>
      <c r="D18" s="2195" t="s">
        <v>3046</v>
      </c>
      <c r="E18" s="35">
        <f t="shared" ref="E18:E112" si="7">IF($C$3="是",ROUND($A$3*G18/$B$3,2),ROUND($A$3*(G18-AT18)/$B$3,2))</f>
        <v>0</v>
      </c>
      <c r="F18" s="36"/>
      <c r="G18" s="37">
        <f t="shared" ref="G18:G109" si="8">H18+AC18+AT18</f>
        <v>116.2</v>
      </c>
      <c r="H18" s="38">
        <f t="shared" ref="H18:H109" si="9">SUMIF(I$12:AB$12,"总值",I18:AB18)</f>
        <v>116.2</v>
      </c>
      <c r="I18" s="293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8">
        <f t="shared" ref="AV18:AV112" si="11">A18</f>
        <v>0</v>
      </c>
      <c r="AW18" s="1778">
        <f t="shared" ref="AW18:AW112" si="12">B18</f>
        <v>0</v>
      </c>
      <c r="AX18" s="1778">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v>107</v>
      </c>
      <c r="D19" s="2195" t="s">
        <v>3046</v>
      </c>
      <c r="E19" s="35">
        <f t="shared" si="7"/>
        <v>0</v>
      </c>
      <c r="F19" s="36"/>
      <c r="G19" s="37">
        <f t="shared" si="8"/>
        <v>142.52000000000001</v>
      </c>
      <c r="H19" s="38">
        <f t="shared" si="9"/>
        <v>142.52000000000001</v>
      </c>
      <c r="I19" s="293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8">
        <f t="shared" si="11"/>
        <v>0</v>
      </c>
      <c r="AW19" s="1778">
        <f t="shared" si="12"/>
        <v>0</v>
      </c>
      <c r="AX19" s="1778">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v>108</v>
      </c>
      <c r="D20" s="2195" t="s">
        <v>3046</v>
      </c>
      <c r="E20" s="35">
        <f t="shared" si="7"/>
        <v>0</v>
      </c>
      <c r="F20" s="36"/>
      <c r="G20" s="37">
        <f t="shared" si="8"/>
        <v>133.59</v>
      </c>
      <c r="H20" s="38">
        <f t="shared" si="9"/>
        <v>133.59</v>
      </c>
      <c r="I20" s="293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8">
        <f t="shared" si="11"/>
        <v>0</v>
      </c>
      <c r="AW20" s="1778">
        <f t="shared" si="12"/>
        <v>0</v>
      </c>
      <c r="AX20" s="1778">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6">
        <v>109</v>
      </c>
      <c r="D21" s="2195" t="s">
        <v>3046</v>
      </c>
      <c r="E21" s="35">
        <f t="shared" si="7"/>
        <v>0</v>
      </c>
      <c r="F21" s="36"/>
      <c r="G21" s="37">
        <f t="shared" si="8"/>
        <v>125.85</v>
      </c>
      <c r="H21" s="38">
        <f t="shared" si="9"/>
        <v>125.85</v>
      </c>
      <c r="I21" s="293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8">
        <f t="shared" si="11"/>
        <v>0</v>
      </c>
      <c r="AW21" s="1778">
        <f t="shared" si="12"/>
        <v>0</v>
      </c>
      <c r="AX21" s="1778">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6">
        <v>110</v>
      </c>
      <c r="D22" s="2195" t="s">
        <v>3046</v>
      </c>
      <c r="E22" s="35">
        <f t="shared" si="7"/>
        <v>0</v>
      </c>
      <c r="F22" s="36"/>
      <c r="G22" s="37">
        <f t="shared" si="8"/>
        <v>28.82</v>
      </c>
      <c r="H22" s="38">
        <f t="shared" si="9"/>
        <v>28.82</v>
      </c>
      <c r="I22" s="293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8">
        <f t="shared" si="11"/>
        <v>0</v>
      </c>
      <c r="AW22" s="1778">
        <f t="shared" si="12"/>
        <v>0</v>
      </c>
      <c r="AX22" s="1778">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6">
        <v>111</v>
      </c>
      <c r="D23" s="2195" t="s">
        <v>3046</v>
      </c>
      <c r="E23" s="35">
        <f t="shared" si="7"/>
        <v>0</v>
      </c>
      <c r="F23" s="36"/>
      <c r="G23" s="37">
        <f t="shared" si="8"/>
        <v>95.71</v>
      </c>
      <c r="H23" s="38">
        <f t="shared" si="9"/>
        <v>95.71</v>
      </c>
      <c r="I23" s="293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8">
        <f t="shared" si="11"/>
        <v>0</v>
      </c>
      <c r="AW23" s="1778">
        <f t="shared" si="12"/>
        <v>0</v>
      </c>
      <c r="AX23" s="1778">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6">
        <v>112</v>
      </c>
      <c r="D24" s="2195" t="s">
        <v>3046</v>
      </c>
      <c r="E24" s="35">
        <f t="shared" si="7"/>
        <v>0</v>
      </c>
      <c r="F24" s="36"/>
      <c r="G24" s="37">
        <f t="shared" si="8"/>
        <v>28.82</v>
      </c>
      <c r="H24" s="38">
        <f t="shared" si="9"/>
        <v>28.82</v>
      </c>
      <c r="I24" s="293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8">
        <f t="shared" si="11"/>
        <v>0</v>
      </c>
      <c r="AW24" s="1778">
        <f t="shared" si="12"/>
        <v>0</v>
      </c>
      <c r="AX24" s="1778">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21" sqref="F21"/>
    </sheetView>
  </sheetViews>
  <sheetFormatPr defaultColWidth="8.875" defaultRowHeight="14.25"/>
  <cols>
    <col min="1" max="1" width="12.125" style="2208" customWidth="1"/>
    <col min="2" max="2" width="10.25" style="2208" customWidth="1"/>
    <col min="3" max="3" width="18.5" style="2208" customWidth="1"/>
    <col min="4" max="4" width="11.625" style="2208" customWidth="1"/>
    <col min="5" max="5" width="13.375" style="2208" customWidth="1"/>
    <col min="6" max="8" width="11.5" style="2208" customWidth="1"/>
    <col min="9" max="9" width="11.125" style="2208" customWidth="1"/>
    <col min="10" max="10" width="3.125" style="2208" customWidth="1"/>
    <col min="11" max="16" width="10" style="2208" customWidth="1"/>
    <col min="17" max="17" width="2.625" style="2208" customWidth="1"/>
    <col min="18" max="18" width="9.375" style="2208" bestFit="1" customWidth="1"/>
    <col min="19" max="19" width="10.5" style="2208" bestFit="1" customWidth="1"/>
    <col min="20" max="16384" width="8.875" style="2208"/>
  </cols>
  <sheetData>
    <row r="1" spans="1:16" ht="18.75">
      <c r="A1" s="2207" t="s">
        <v>1931</v>
      </c>
      <c r="B1" s="1375"/>
      <c r="C1" s="1375"/>
      <c r="D1" s="1375"/>
      <c r="E1" s="1375"/>
      <c r="F1" s="1375"/>
      <c r="G1" s="1375"/>
      <c r="H1" s="1375"/>
      <c r="I1" s="1375"/>
      <c r="J1" s="1375"/>
      <c r="K1" s="1375"/>
      <c r="L1" s="1375"/>
      <c r="M1" s="1375"/>
      <c r="N1" s="1375"/>
      <c r="O1" s="1375"/>
      <c r="P1" s="1375"/>
    </row>
    <row r="2" spans="1:16" ht="15">
      <c r="A2" s="3092" t="s">
        <v>1932</v>
      </c>
      <c r="B2" s="3092"/>
      <c r="C2" s="3092"/>
      <c r="D2" s="950" t="s">
        <v>1908</v>
      </c>
      <c r="E2" s="2209" t="s">
        <v>1909</v>
      </c>
      <c r="F2" s="1375"/>
      <c r="G2" s="2210"/>
      <c r="H2" s="2211"/>
      <c r="I2" s="2212" t="s">
        <v>1933</v>
      </c>
      <c r="J2" s="1375"/>
      <c r="K2" s="1375"/>
      <c r="L2" s="1375"/>
      <c r="M2" s="1375"/>
      <c r="N2" s="1410"/>
      <c r="O2" s="1375"/>
      <c r="P2" s="1375"/>
    </row>
    <row r="3" spans="1:16" ht="15.75" thickBot="1">
      <c r="A3" s="3093" t="s">
        <v>1906</v>
      </c>
      <c r="B3" s="3093"/>
      <c r="C3" s="3093"/>
      <c r="D3" s="46">
        <f>'数据-基础表'!AY6</f>
        <v>0</v>
      </c>
      <c r="E3" s="46">
        <f>'数据-基础表'!AZ5</f>
        <v>1266.6499999999999</v>
      </c>
      <c r="F3" s="1375"/>
      <c r="G3" s="1382"/>
      <c r="H3" s="1230" t="s">
        <v>1907</v>
      </c>
      <c r="I3" s="55" t="e">
        <f>ROUND('数据-基础表'!B3/'数据-基础表'!A3,2)</f>
        <v>#DIV/0!</v>
      </c>
      <c r="J3" s="1375"/>
      <c r="K3" s="1375"/>
      <c r="L3" s="1375"/>
      <c r="M3" s="1375"/>
      <c r="N3" s="1410"/>
      <c r="O3" s="1375"/>
      <c r="P3" s="1375"/>
    </row>
    <row r="4" spans="1:16" ht="15">
      <c r="A4" s="3094"/>
      <c r="B4" s="3095"/>
      <c r="C4" s="3096"/>
      <c r="D4" s="2213" t="s">
        <v>1908</v>
      </c>
      <c r="E4" s="2214" t="s">
        <v>1909</v>
      </c>
      <c r="F4" s="1375"/>
      <c r="G4" s="2215" t="s">
        <v>1934</v>
      </c>
      <c r="H4" s="1230" t="s">
        <v>1914</v>
      </c>
      <c r="I4" s="55" t="e">
        <f>ROUND(SUMIF('数据-基础表'!I9:AS9,"地上",'数据-基础表'!I5:AS5)/'数据-基础表'!A3,2)</f>
        <v>#DIV/0!</v>
      </c>
      <c r="J4" s="1375"/>
      <c r="K4" s="1375"/>
      <c r="L4" s="1375"/>
      <c r="M4" s="1375"/>
      <c r="N4" s="1410"/>
      <c r="O4" s="1375"/>
      <c r="P4" s="1375"/>
    </row>
    <row r="5" spans="1:16">
      <c r="A5" s="47" t="s">
        <v>1910</v>
      </c>
      <c r="B5" s="3097" t="s">
        <v>1911</v>
      </c>
      <c r="C5" s="3097"/>
      <c r="D5" s="48">
        <f>ROUND($D$3*E5/$E$3,2)</f>
        <v>0</v>
      </c>
      <c r="E5" s="49">
        <f>SUMIF('数据-基础表'!$11:$11,"住宅",'数据-基础表'!$5:$5)</f>
        <v>0</v>
      </c>
      <c r="F5" s="1375"/>
      <c r="G5" s="1382"/>
      <c r="H5" s="1230" t="s">
        <v>1907</v>
      </c>
      <c r="I5" s="55" t="e">
        <f>ROUND(E31/D31,2)</f>
        <v>#DIV/0!</v>
      </c>
      <c r="J5" s="1375"/>
      <c r="K5" s="1375"/>
      <c r="L5" s="1375"/>
      <c r="M5" s="1375"/>
      <c r="N5" s="1375"/>
      <c r="O5" s="1375"/>
      <c r="P5" s="1375"/>
    </row>
    <row r="6" spans="1:16" ht="15" thickBot="1">
      <c r="A6" s="2216"/>
      <c r="B6" s="3097" t="s">
        <v>1912</v>
      </c>
      <c r="C6" s="3097"/>
      <c r="D6" s="48">
        <f>ROUND($D$3*E6/$E$3,2)</f>
        <v>0</v>
      </c>
      <c r="E6" s="49">
        <f>E3-E5</f>
        <v>1266.6499999999999</v>
      </c>
      <c r="F6" s="1375"/>
      <c r="G6" s="2217" t="s">
        <v>1913</v>
      </c>
      <c r="H6" s="1382" t="s">
        <v>1914</v>
      </c>
      <c r="I6" s="922" t="e">
        <f>ROUND(F31/D31,2)</f>
        <v>#DIV/0!</v>
      </c>
      <c r="J6" s="1375"/>
      <c r="K6" s="1375"/>
      <c r="L6" s="1375"/>
      <c r="M6" s="1375"/>
      <c r="N6" s="1375"/>
      <c r="O6" s="1375"/>
      <c r="P6" s="1375"/>
    </row>
    <row r="7" spans="1:16" ht="15">
      <c r="A7" s="3089"/>
      <c r="B7" s="3090"/>
      <c r="C7" s="3091"/>
      <c r="D7" s="2213" t="s">
        <v>1908</v>
      </c>
      <c r="E7" s="2218" t="s">
        <v>1915</v>
      </c>
      <c r="F7" s="1375"/>
      <c r="G7" s="2210" t="s">
        <v>1916</v>
      </c>
      <c r="H7" s="63"/>
      <c r="I7" s="411"/>
      <c r="J7" s="1375"/>
      <c r="K7" s="1375"/>
      <c r="L7" s="1375"/>
      <c r="M7" s="1375"/>
      <c r="N7" s="1375"/>
      <c r="O7" s="1375"/>
      <c r="P7" s="1375"/>
    </row>
    <row r="8" spans="1:16">
      <c r="A8" s="47" t="s">
        <v>1917</v>
      </c>
      <c r="B8" s="50" t="s">
        <v>1918</v>
      </c>
      <c r="C8" s="48" t="s">
        <v>1919</v>
      </c>
      <c r="D8" s="48">
        <f t="shared" ref="D8:D15" si="0">ROUND($D$3*E8/$E$3,2)</f>
        <v>0</v>
      </c>
      <c r="E8" s="51">
        <f>SUMIF('数据-基础表'!BB10:BK10,"地上",'数据-基础表'!BB5:BK5)</f>
        <v>1266.6499999999999</v>
      </c>
      <c r="F8" s="1375"/>
      <c r="G8" s="2219"/>
      <c r="H8" s="2219"/>
      <c r="I8" s="1375"/>
      <c r="J8" s="1375"/>
      <c r="K8" s="1375"/>
      <c r="L8" s="1375"/>
      <c r="M8" s="1375"/>
      <c r="N8" s="1375"/>
      <c r="O8" s="1375"/>
      <c r="P8" s="1375"/>
    </row>
    <row r="9" spans="1:16">
      <c r="A9" s="2220"/>
      <c r="B9" s="2221"/>
      <c r="C9" s="48" t="s">
        <v>1920</v>
      </c>
      <c r="D9" s="48">
        <f t="shared" si="0"/>
        <v>0</v>
      </c>
      <c r="E9" s="52">
        <v>0</v>
      </c>
      <c r="F9" s="1375"/>
      <c r="G9" s="2219"/>
      <c r="H9" s="2219"/>
      <c r="I9" s="1375"/>
      <c r="J9" s="1375"/>
      <c r="K9" s="1375"/>
      <c r="L9" s="1375"/>
      <c r="M9" s="1375"/>
      <c r="N9" s="1375"/>
      <c r="O9" s="1375"/>
      <c r="P9" s="1375"/>
    </row>
    <row r="10" spans="1:16">
      <c r="A10" s="2220"/>
      <c r="B10" s="2221"/>
      <c r="C10" s="48" t="s">
        <v>1929</v>
      </c>
      <c r="D10" s="48">
        <f t="shared" si="0"/>
        <v>0</v>
      </c>
      <c r="E10" s="51">
        <f>SUMPRODUCT(('数据-基础表'!BB10:BK10="地下")*('数据-基础表'!BB11:BK11="商业")*('数据-基础表'!BB5:BK5))</f>
        <v>0</v>
      </c>
      <c r="F10" s="1375"/>
      <c r="G10" s="2219"/>
      <c r="H10" s="2219"/>
      <c r="I10" s="1375"/>
      <c r="J10" s="1375"/>
      <c r="K10" s="1375"/>
      <c r="L10" s="1375"/>
      <c r="M10" s="1375"/>
      <c r="N10" s="1375"/>
      <c r="O10" s="1375"/>
      <c r="P10" s="1375"/>
    </row>
    <row r="11" spans="1:16">
      <c r="A11" s="2220"/>
      <c r="B11" s="2221"/>
      <c r="C11" s="48" t="s">
        <v>1921</v>
      </c>
      <c r="D11" s="48">
        <f t="shared" si="0"/>
        <v>0</v>
      </c>
      <c r="E11" s="51">
        <f>SUMPRODUCT(('数据-基础表'!BB10:BK10="地下")*('数据-基础表'!BB11:BK11="办公")*('数据-基础表'!BB5:BK5))+'数据-基础表'!BP5</f>
        <v>0</v>
      </c>
      <c r="F11" s="1375"/>
      <c r="G11" s="2219"/>
      <c r="H11" s="2219"/>
      <c r="I11" s="1375"/>
      <c r="J11" s="1375"/>
      <c r="K11" s="1375"/>
      <c r="L11" s="1375"/>
      <c r="M11" s="1375"/>
      <c r="N11" s="1375"/>
      <c r="O11" s="1375"/>
      <c r="P11" s="1375"/>
    </row>
    <row r="12" spans="1:16">
      <c r="A12" s="2220"/>
      <c r="B12" s="2221"/>
      <c r="C12" s="48" t="s">
        <v>1922</v>
      </c>
      <c r="D12" s="48">
        <f t="shared" si="0"/>
        <v>0</v>
      </c>
      <c r="E12" s="51">
        <f>SUMPRODUCT(('数据-基础表'!BB10:BK10="地下")*('数据-基础表'!BB11:BK11="仓储")*('数据-基础表'!BB5:BK5))</f>
        <v>0</v>
      </c>
      <c r="F12" s="1375"/>
      <c r="G12" s="2219"/>
      <c r="H12" s="2219"/>
      <c r="I12" s="1375"/>
      <c r="J12" s="1375"/>
      <c r="K12" s="1375"/>
      <c r="L12" s="1375"/>
      <c r="M12" s="1375"/>
      <c r="N12" s="1375"/>
      <c r="O12" s="1375"/>
      <c r="P12" s="1375"/>
    </row>
    <row r="13" spans="1:16">
      <c r="A13" s="2220"/>
      <c r="B13" s="2221"/>
      <c r="C13" s="48" t="s">
        <v>1923</v>
      </c>
      <c r="D13" s="48">
        <f t="shared" si="0"/>
        <v>0</v>
      </c>
      <c r="E13" s="51">
        <f>SUMPRODUCT(('数据-基础表'!BB10:BK10="地下")*('数据-基础表'!BB11:BK11="车库")*('数据-基础表'!BB5:BK5))</f>
        <v>0</v>
      </c>
      <c r="F13" s="1375"/>
      <c r="G13" s="2219"/>
      <c r="H13" s="2219"/>
      <c r="I13" s="1375"/>
      <c r="J13" s="1375"/>
      <c r="K13" s="1375"/>
      <c r="L13" s="1375"/>
      <c r="M13" s="1375"/>
      <c r="N13" s="1375"/>
      <c r="O13" s="1375"/>
      <c r="P13" s="1375"/>
    </row>
    <row r="14" spans="1:16">
      <c r="A14" s="2220"/>
      <c r="B14" s="2221"/>
      <c r="C14" s="48" t="s">
        <v>1935</v>
      </c>
      <c r="D14" s="48">
        <f t="shared" si="0"/>
        <v>0</v>
      </c>
      <c r="E14" s="51">
        <f>SUMPRODUCT(('数据-基础表'!BB10:BK10="地下")*('数据-基础表'!BB11:BK11="车库—商业")*('数据-基础表'!BB5:BK5))</f>
        <v>0</v>
      </c>
      <c r="F14" s="1375"/>
      <c r="G14" s="2219"/>
      <c r="H14" s="2219"/>
      <c r="I14" s="1375"/>
      <c r="J14" s="1375"/>
      <c r="K14" s="1375"/>
      <c r="L14" s="1375"/>
      <c r="M14" s="1375"/>
      <c r="N14" s="1375"/>
      <c r="O14" s="1375"/>
      <c r="P14" s="1375"/>
    </row>
    <row r="15" spans="1:16" ht="15" thickBot="1">
      <c r="A15" s="2220"/>
      <c r="B15" s="2221"/>
      <c r="C15" s="48" t="s">
        <v>1930</v>
      </c>
      <c r="D15" s="48">
        <f t="shared" si="0"/>
        <v>0</v>
      </c>
      <c r="E15" s="51">
        <f>SUMPRODUCT(('数据-基础表'!BB10:BK10="地下")*('数据-基础表'!BB11:BK11="车库—办公")*('数据-基础表'!BB5:BK5))</f>
        <v>0</v>
      </c>
      <c r="F15" s="1375"/>
      <c r="G15" s="2219"/>
      <c r="H15" s="2219"/>
      <c r="I15" s="1375"/>
      <c r="J15" s="1375"/>
      <c r="K15" s="1375"/>
      <c r="L15" s="1375"/>
      <c r="M15" s="1375"/>
      <c r="N15" s="1375"/>
      <c r="O15" s="1375"/>
      <c r="P15" s="1375"/>
    </row>
    <row r="16" spans="1:16" ht="15.75" thickBot="1">
      <c r="A16" s="2216"/>
      <c r="B16" s="2221"/>
      <c r="C16" s="50" t="s">
        <v>1924</v>
      </c>
      <c r="D16" s="50">
        <f>SUM(D8:D15)</f>
        <v>0</v>
      </c>
      <c r="E16" s="53">
        <f>SUM(E8:E15)</f>
        <v>1266.6499999999999</v>
      </c>
      <c r="F16" s="1375"/>
      <c r="G16" s="2219"/>
      <c r="H16" s="2222" t="s">
        <v>1936</v>
      </c>
      <c r="I16" s="2223"/>
      <c r="J16" s="1375"/>
      <c r="K16" s="3086" t="s">
        <v>1936</v>
      </c>
      <c r="L16" s="3087"/>
      <c r="M16" s="3087"/>
      <c r="N16" s="3087"/>
      <c r="O16" s="3087"/>
      <c r="P16" s="3088"/>
    </row>
    <row r="17" spans="1:19" ht="15">
      <c r="A17" s="2224" t="s">
        <v>1937</v>
      </c>
      <c r="B17" s="2225" t="s">
        <v>1938</v>
      </c>
      <c r="C17" s="2226" t="s">
        <v>1939</v>
      </c>
      <c r="D17" s="2227" t="s">
        <v>1927</v>
      </c>
      <c r="E17" s="2228" t="s">
        <v>1928</v>
      </c>
      <c r="F17" s="2229"/>
      <c r="G17" s="2230"/>
      <c r="H17" s="2231" t="s">
        <v>1940</v>
      </c>
      <c r="I17" s="2232" t="s">
        <v>1925</v>
      </c>
      <c r="J17" s="1375"/>
      <c r="K17" s="3083" t="s">
        <v>1941</v>
      </c>
      <c r="L17" s="3084"/>
      <c r="M17" s="3085"/>
      <c r="N17" s="3083" t="s">
        <v>1942</v>
      </c>
      <c r="O17" s="3084"/>
      <c r="P17" s="3085"/>
      <c r="R17" s="2210" t="s">
        <v>1943</v>
      </c>
      <c r="S17" s="63"/>
    </row>
    <row r="18" spans="1:19" ht="15">
      <c r="A18" s="2220"/>
      <c r="B18" s="2233"/>
      <c r="C18" s="2234"/>
      <c r="D18" s="2235"/>
      <c r="E18" s="2236" t="s">
        <v>1944</v>
      </c>
      <c r="F18" s="2237" t="s">
        <v>1945</v>
      </c>
      <c r="G18" s="2238" t="s">
        <v>1946</v>
      </c>
      <c r="H18" s="1245" t="s">
        <v>1947</v>
      </c>
      <c r="I18" s="2239" t="s">
        <v>1948</v>
      </c>
      <c r="J18" s="1375"/>
      <c r="K18" s="1245" t="s">
        <v>1949</v>
      </c>
      <c r="L18" s="2240" t="s">
        <v>1950</v>
      </c>
      <c r="M18" s="1029" t="s">
        <v>1951</v>
      </c>
      <c r="N18" s="1245" t="s">
        <v>1949</v>
      </c>
      <c r="O18" s="2240" t="s">
        <v>1950</v>
      </c>
      <c r="P18" s="1029" t="s">
        <v>1951</v>
      </c>
      <c r="R18" s="1230" t="s">
        <v>1952</v>
      </c>
      <c r="S18" s="1230" t="s">
        <v>1953</v>
      </c>
    </row>
    <row r="19" spans="1:19">
      <c r="A19" s="2241"/>
      <c r="B19" s="50" t="s">
        <v>1926</v>
      </c>
      <c r="C19" s="2941" t="s">
        <v>3047</v>
      </c>
      <c r="D19" s="48">
        <f>ROUND($D$3*E19/$E$3,2)</f>
        <v>0</v>
      </c>
      <c r="E19" s="56">
        <f t="shared" ref="E19:E26" si="1">SUM(F19:G19)</f>
        <v>125.85</v>
      </c>
      <c r="F19" s="2942">
        <f>'数据-基础表'!I21</f>
        <v>125.85</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2"/>
      <c r="O19" s="2243"/>
      <c r="P19" s="1386">
        <f>N19+O19</f>
        <v>0</v>
      </c>
      <c r="R19" s="1230">
        <f t="shared" ref="R19:S26" si="5">D19+H19</f>
        <v>0</v>
      </c>
      <c r="S19" s="1231">
        <f t="shared" si="5"/>
        <v>125.85</v>
      </c>
    </row>
    <row r="20" spans="1:19">
      <c r="A20" s="2244"/>
      <c r="B20" s="50" t="s">
        <v>1954</v>
      </c>
      <c r="C20" s="2941" t="s">
        <v>3111</v>
      </c>
      <c r="D20" s="48">
        <f t="shared" ref="D20:D26" si="6">ROUND($D$3*E20/$E$3,2)</f>
        <v>0</v>
      </c>
      <c r="E20" s="56">
        <f t="shared" si="1"/>
        <v>1140.8</v>
      </c>
      <c r="F20" s="2942">
        <f>SUM('数据-基础表'!I13:I20)+'数据-基础表'!I22+'数据-基础表'!I23+'数据-基础表'!I24</f>
        <v>1140.8</v>
      </c>
      <c r="G20" s="57"/>
      <c r="H20" s="709">
        <f t="shared" ref="H20:H26" si="7">ROUND($D$3*I20/$E$3,2)</f>
        <v>0</v>
      </c>
      <c r="I20" s="51">
        <f t="shared" si="2"/>
        <v>0</v>
      </c>
      <c r="J20" s="1375"/>
      <c r="K20" s="1374">
        <f t="shared" si="3"/>
        <v>0</v>
      </c>
      <c r="L20" s="1230">
        <f t="shared" si="4"/>
        <v>0</v>
      </c>
      <c r="M20" s="1386">
        <f t="shared" ref="M20:M26" si="8">K20+L20</f>
        <v>0</v>
      </c>
      <c r="N20" s="2242"/>
      <c r="O20" s="2243"/>
      <c r="P20" s="1386">
        <f t="shared" ref="P20:P26" si="9">N20+O20</f>
        <v>0</v>
      </c>
      <c r="R20" s="1230">
        <f t="shared" si="5"/>
        <v>0</v>
      </c>
      <c r="S20" s="1231">
        <f t="shared" si="5"/>
        <v>1140.8</v>
      </c>
    </row>
    <row r="21" spans="1:19">
      <c r="A21" s="2244"/>
      <c r="B21" s="50" t="s">
        <v>1954</v>
      </c>
      <c r="C21" s="2940"/>
      <c r="D21" s="48">
        <f t="shared" si="6"/>
        <v>0</v>
      </c>
      <c r="E21" s="56">
        <f t="shared" si="1"/>
        <v>0</v>
      </c>
      <c r="F21" s="2942"/>
      <c r="G21" s="57"/>
      <c r="H21" s="709">
        <f t="shared" si="7"/>
        <v>0</v>
      </c>
      <c r="I21" s="51">
        <f t="shared" si="2"/>
        <v>0</v>
      </c>
      <c r="J21" s="1375"/>
      <c r="K21" s="1374">
        <f t="shared" si="3"/>
        <v>0</v>
      </c>
      <c r="L21" s="1230">
        <f t="shared" si="4"/>
        <v>0</v>
      </c>
      <c r="M21" s="1386">
        <f t="shared" si="8"/>
        <v>0</v>
      </c>
      <c r="N21" s="2242"/>
      <c r="O21" s="2243"/>
      <c r="P21" s="1386">
        <f t="shared" si="9"/>
        <v>0</v>
      </c>
      <c r="R21" s="1230">
        <f t="shared" si="5"/>
        <v>0</v>
      </c>
      <c r="S21" s="1231">
        <f t="shared" si="5"/>
        <v>0</v>
      </c>
    </row>
    <row r="22" spans="1:19">
      <c r="A22" s="2244"/>
      <c r="B22" s="50" t="s">
        <v>1954</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2"/>
      <c r="O22" s="2243"/>
      <c r="P22" s="1386">
        <f t="shared" si="9"/>
        <v>0</v>
      </c>
      <c r="R22" s="1230">
        <f t="shared" si="5"/>
        <v>0</v>
      </c>
      <c r="S22" s="1231">
        <f t="shared" si="5"/>
        <v>0</v>
      </c>
    </row>
    <row r="23" spans="1:19">
      <c r="A23" s="2244"/>
      <c r="B23" s="50" t="s">
        <v>1954</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2"/>
      <c r="O23" s="2243"/>
      <c r="P23" s="1386">
        <f t="shared" si="9"/>
        <v>0</v>
      </c>
      <c r="R23" s="1230">
        <f t="shared" si="5"/>
        <v>0</v>
      </c>
      <c r="S23" s="1231">
        <f t="shared" si="5"/>
        <v>0</v>
      </c>
    </row>
    <row r="24" spans="1:19">
      <c r="A24" s="2244"/>
      <c r="B24" s="50" t="s">
        <v>1954</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2"/>
      <c r="O24" s="2243"/>
      <c r="P24" s="1386">
        <f t="shared" si="9"/>
        <v>0</v>
      </c>
      <c r="R24" s="1230">
        <f t="shared" si="5"/>
        <v>0</v>
      </c>
      <c r="S24" s="1231">
        <f t="shared" si="5"/>
        <v>0</v>
      </c>
    </row>
    <row r="25" spans="1:19">
      <c r="A25" s="2244"/>
      <c r="B25" s="50" t="s">
        <v>1954</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2"/>
      <c r="O25" s="2243"/>
      <c r="P25" s="1386">
        <f t="shared" si="9"/>
        <v>0</v>
      </c>
      <c r="R25" s="1230">
        <f t="shared" si="5"/>
        <v>0</v>
      </c>
      <c r="S25" s="1231">
        <f t="shared" si="5"/>
        <v>0</v>
      </c>
    </row>
    <row r="26" spans="1:19">
      <c r="A26" s="2244"/>
      <c r="B26" s="50" t="s">
        <v>1954</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5"/>
      <c r="O26" s="2246"/>
      <c r="P26" s="66">
        <f t="shared" si="9"/>
        <v>0</v>
      </c>
      <c r="R26" s="1230">
        <f t="shared" si="5"/>
        <v>0</v>
      </c>
      <c r="S26" s="1231">
        <f t="shared" si="5"/>
        <v>0</v>
      </c>
    </row>
    <row r="27" spans="1:19" ht="15.75" thickBot="1">
      <c r="A27" s="2244"/>
      <c r="B27" s="48"/>
      <c r="C27" s="2247" t="s">
        <v>1955</v>
      </c>
      <c r="D27" s="1376">
        <f>SUM(D19:D26)</f>
        <v>0</v>
      </c>
      <c r="E27" s="1377">
        <f>IF(SUM(E19:E26)='数据-基础表'!BA5,SUM(E19:E26),IF(F27="地上面积有误","面积有误","地下面积有误"))</f>
        <v>1266.6499999999999</v>
      </c>
      <c r="F27" s="1376">
        <f>IF(SUM(F19:F26)=E8,SUM(F19:F26),"地上面积有误")</f>
        <v>1266.6499999999999</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1266.6499999999999</v>
      </c>
    </row>
    <row r="28" spans="1:19">
      <c r="A28" s="2244"/>
      <c r="B28" s="50" t="s">
        <v>1956</v>
      </c>
      <c r="C28" s="1242" t="s">
        <v>1957</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c r="A29" s="2244"/>
      <c r="B29" s="50" t="s">
        <v>1956</v>
      </c>
      <c r="C29" s="2248" t="s">
        <v>1958</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5">
      <c r="A30" s="2244"/>
      <c r="B30" s="50"/>
      <c r="C30" s="2249" t="s">
        <v>1955</v>
      </c>
      <c r="D30" s="1376">
        <f>SUM(D28:D29)</f>
        <v>0</v>
      </c>
      <c r="E30" s="1376">
        <f>SUM(E28:E29)</f>
        <v>0</v>
      </c>
      <c r="F30" s="1376">
        <f>SUM(F28:F29)</f>
        <v>0</v>
      </c>
      <c r="G30" s="1378">
        <f>SUM(G28:G29)</f>
        <v>0</v>
      </c>
      <c r="H30" s="1375"/>
      <c r="I30" s="1375"/>
      <c r="J30" s="1375"/>
      <c r="K30" s="1375"/>
      <c r="L30" s="1375"/>
      <c r="M30" s="1375"/>
      <c r="N30" s="1375"/>
      <c r="O30" s="1375"/>
      <c r="P30" s="1375"/>
    </row>
    <row r="31" spans="1:19" ht="15.75" thickBot="1">
      <c r="A31" s="2250"/>
      <c r="B31" s="2251"/>
      <c r="C31" s="990" t="s">
        <v>1959</v>
      </c>
      <c r="D31" s="712">
        <f>D27+D30</f>
        <v>0</v>
      </c>
      <c r="E31" s="712">
        <f>E27+E30</f>
        <v>1266.6499999999999</v>
      </c>
      <c r="F31" s="713">
        <f>F27+F30</f>
        <v>1266.6499999999999</v>
      </c>
      <c r="G31" s="714">
        <f>G27+G30</f>
        <v>0</v>
      </c>
      <c r="H31" s="1375"/>
      <c r="I31" s="1375"/>
      <c r="J31" s="1375"/>
      <c r="K31" s="1375"/>
      <c r="L31" s="1375"/>
      <c r="M31" s="1375"/>
      <c r="N31" s="1375"/>
      <c r="O31" s="1375"/>
      <c r="P31" s="1375"/>
    </row>
    <row r="32" spans="1:19">
      <c r="A32" s="2215"/>
      <c r="B32" s="2215" t="s">
        <v>1960</v>
      </c>
      <c r="C32" s="2215"/>
      <c r="D32" s="2215"/>
      <c r="E32" s="1257">
        <f>SUMIF(C19:C26,"*住宅*",E19:E26)</f>
        <v>0</v>
      </c>
      <c r="F32" s="2215"/>
      <c r="G32" s="2215"/>
      <c r="H32" s="1375"/>
      <c r="I32" s="1375"/>
      <c r="J32" s="1375"/>
      <c r="K32" s="1375"/>
      <c r="L32" s="1375"/>
      <c r="M32" s="1375"/>
      <c r="N32" s="1375"/>
      <c r="O32" s="1375"/>
      <c r="P32" s="1375"/>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0" sqref="H30"/>
    </sheetView>
  </sheetViews>
  <sheetFormatPr defaultColWidth="8.875" defaultRowHeight="12.75"/>
  <cols>
    <col min="1" max="1" width="20.875" style="2326" customWidth="1"/>
    <col min="2" max="2" width="12" style="2256" customWidth="1"/>
    <col min="3" max="3" width="10.75" style="2256" customWidth="1"/>
    <col min="4" max="4" width="9.125" style="2327" customWidth="1"/>
    <col min="5" max="5" width="15" style="2256" bestFit="1" customWidth="1"/>
    <col min="6" max="10" width="8.875" style="2256" customWidth="1"/>
    <col min="11" max="12" width="12.375" style="2171" customWidth="1"/>
    <col min="13" max="13" width="8.625" style="2256" customWidth="1"/>
    <col min="14" max="14" width="11.875" style="2256" customWidth="1"/>
    <col min="15" max="15" width="8.5" style="2256" customWidth="1"/>
    <col min="16" max="17" width="10.875" style="2256" customWidth="1"/>
    <col min="18" max="19" width="12.5" style="2256" customWidth="1"/>
    <col min="20" max="20" width="12.125" style="2256" customWidth="1"/>
    <col min="21" max="21" width="7.5" style="2256" customWidth="1"/>
    <col min="22" max="22" width="6.375" style="2256" customWidth="1"/>
    <col min="23" max="30" width="6.75" style="2256" customWidth="1"/>
    <col min="31" max="31" width="8" style="2256" customWidth="1"/>
    <col min="32" max="34" width="7.25" style="2256" customWidth="1"/>
    <col min="35" max="39" width="8" style="2256" customWidth="1"/>
    <col min="40" max="40" width="13.75" style="2255"/>
    <col min="41" max="41" width="11.625" style="2255" customWidth="1"/>
    <col min="42" max="42" width="9.75" style="2255" customWidth="1"/>
    <col min="43" max="67" width="8.875" style="2255"/>
    <col min="68" max="16384" width="8.875" style="2256"/>
  </cols>
  <sheetData>
    <row r="1" spans="1:67" ht="19.5" thickBot="1">
      <c r="A1" s="2253" t="s">
        <v>1961</v>
      </c>
      <c r="B1" s="715"/>
      <c r="C1" s="1564"/>
      <c r="D1" s="2254"/>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75" thickBot="1">
      <c r="A2" s="2257" t="s">
        <v>1962</v>
      </c>
      <c r="B2" s="1249">
        <f>项目基本情况!D3</f>
        <v>43886</v>
      </c>
      <c r="C2" s="2258"/>
      <c r="D2" s="2259"/>
      <c r="E2" s="2258"/>
      <c r="F2" s="2258"/>
      <c r="G2" s="2258"/>
      <c r="H2" s="2258"/>
      <c r="I2" s="2258"/>
      <c r="J2" s="2258"/>
      <c r="K2" s="1410"/>
      <c r="L2" s="141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3" customFormat="1" ht="15" thickBot="1">
      <c r="A3" s="2011"/>
      <c r="B3" s="2261"/>
      <c r="C3" s="2258"/>
      <c r="D3" s="2259"/>
      <c r="E3" s="2258"/>
      <c r="F3" s="2258"/>
      <c r="G3" s="2258"/>
      <c r="H3" s="2258"/>
      <c r="I3" s="2258"/>
      <c r="J3" s="2258"/>
      <c r="K3" s="1410"/>
      <c r="L3" s="141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3" customFormat="1" ht="15" thickBot="1">
      <c r="A4" s="67" t="s">
        <v>1963</v>
      </c>
      <c r="B4" s="2262"/>
      <c r="C4" s="2263"/>
      <c r="D4" s="2264"/>
      <c r="E4" s="2263" t="s">
        <v>1964</v>
      </c>
      <c r="F4" s="2263"/>
      <c r="G4" s="2263"/>
      <c r="H4" s="2263"/>
      <c r="I4" s="2263"/>
      <c r="J4" s="2265"/>
      <c r="K4" s="2266"/>
      <c r="L4" s="2267"/>
      <c r="M4" s="2263"/>
      <c r="N4" s="2263" t="s">
        <v>1965</v>
      </c>
      <c r="O4" s="2263"/>
      <c r="P4" s="2263"/>
      <c r="Q4" s="2263"/>
      <c r="R4" s="2263"/>
      <c r="S4" s="2265"/>
      <c r="T4" s="2268" t="str">
        <f>'数据-汇总表'!I17</f>
        <v>按面积比例</v>
      </c>
      <c r="U4" s="2262" t="s">
        <v>1966</v>
      </c>
      <c r="V4" s="2263"/>
      <c r="W4" s="2263"/>
      <c r="X4" s="2263"/>
      <c r="Y4" s="2265"/>
      <c r="Z4" s="2226" t="s">
        <v>1967</v>
      </c>
      <c r="AA4" s="2226"/>
      <c r="AB4" s="2226"/>
      <c r="AC4" s="2226"/>
      <c r="AD4" s="2226"/>
      <c r="AE4" s="2224" t="s">
        <v>1968</v>
      </c>
      <c r="AF4" s="2226"/>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4" customFormat="1" ht="42">
      <c r="A5" s="2270" t="s">
        <v>1969</v>
      </c>
      <c r="B5" s="2271" t="s">
        <v>1970</v>
      </c>
      <c r="C5" s="2272" t="s">
        <v>1971</v>
      </c>
      <c r="D5" s="2273" t="s">
        <v>1972</v>
      </c>
      <c r="E5" s="1251" t="s">
        <v>1973</v>
      </c>
      <c r="F5" s="2274" t="s">
        <v>1974</v>
      </c>
      <c r="G5" s="1251" t="s">
        <v>1975</v>
      </c>
      <c r="H5" s="1251" t="s">
        <v>1976</v>
      </c>
      <c r="I5" s="1251" t="s">
        <v>1977</v>
      </c>
      <c r="J5" s="2275" t="s">
        <v>1978</v>
      </c>
      <c r="K5" s="2276" t="s">
        <v>1979</v>
      </c>
      <c r="L5" s="2277" t="s">
        <v>1980</v>
      </c>
      <c r="M5" s="2278" t="s">
        <v>1981</v>
      </c>
      <c r="N5" s="2279" t="s">
        <v>3050</v>
      </c>
      <c r="O5" s="2277" t="s">
        <v>1982</v>
      </c>
      <c r="P5" s="2280" t="s">
        <v>1983</v>
      </c>
      <c r="Q5" s="68" t="s">
        <v>1984</v>
      </c>
      <c r="R5" s="2281" t="s">
        <v>1985</v>
      </c>
      <c r="S5" s="2282" t="s">
        <v>1986</v>
      </c>
      <c r="T5" s="2283" t="s">
        <v>1987</v>
      </c>
      <c r="U5" s="1250" t="s">
        <v>1988</v>
      </c>
      <c r="V5" s="1251" t="s">
        <v>1989</v>
      </c>
      <c r="W5" s="1251" t="s">
        <v>1990</v>
      </c>
      <c r="X5" s="70"/>
      <c r="Y5" s="69" t="s">
        <v>1991</v>
      </c>
      <c r="Z5" s="2284" t="s">
        <v>1988</v>
      </c>
      <c r="AA5" s="1251" t="s">
        <v>1989</v>
      </c>
      <c r="AB5" s="1251" t="s">
        <v>1990</v>
      </c>
      <c r="AC5" s="70"/>
      <c r="AD5" s="70" t="s">
        <v>1991</v>
      </c>
      <c r="AE5" s="1250" t="s">
        <v>1992</v>
      </c>
      <c r="AF5" s="1251" t="s">
        <v>1993</v>
      </c>
      <c r="AG5" s="69" t="s">
        <v>1994</v>
      </c>
      <c r="AH5" s="1250" t="s">
        <v>1995</v>
      </c>
      <c r="AI5" s="2284" t="s">
        <v>1996</v>
      </c>
      <c r="AJ5" s="2284" t="s">
        <v>1997</v>
      </c>
      <c r="AK5" s="1251" t="s">
        <v>1998</v>
      </c>
      <c r="AL5" s="1251" t="s">
        <v>1999</v>
      </c>
      <c r="AM5" s="69" t="s">
        <v>2000</v>
      </c>
      <c r="AN5" s="2285" t="s">
        <v>2001</v>
      </c>
      <c r="AO5" s="2057" t="s">
        <v>2002</v>
      </c>
      <c r="AP5" s="1232" t="s">
        <v>2003</v>
      </c>
      <c r="AQ5" s="2286" t="s">
        <v>2004</v>
      </c>
      <c r="AR5" s="2286" t="s">
        <v>2005</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3" customFormat="1" ht="14.25">
      <c r="A6" s="2287" t="str">
        <f>'数据-汇总表'!C19</f>
        <v>典型办公</v>
      </c>
      <c r="B6" s="2288" t="str">
        <f>IF(A6=0,"","经营性")</f>
        <v>经营性</v>
      </c>
      <c r="C6" s="2289" t="s">
        <v>27</v>
      </c>
      <c r="D6" s="1034">
        <f>SUMIF(项目基本情况!D$12:I$12,C6,项目基本情况!D$14:I$14)</f>
        <v>50</v>
      </c>
      <c r="E6" s="1031">
        <f>IF(B6="","",SUMIF(项目基本情况!D$12:I$12,C6,项目基本情况!D$13:I$13))</f>
        <v>56663</v>
      </c>
      <c r="F6" s="71">
        <f>SUMIF(项目基本情况!D$12:I$12,C6,项目基本情况!D$15:I$15)</f>
        <v>35</v>
      </c>
      <c r="G6" s="72">
        <f>IF(ISERROR(ROUND(POWER(1+H6,D6-F6)*(POWER(1+H6,F6)-1)/(POWER(1+H6,D6)-1),3)),0,ROUND(POWER(1+H6,D6-F6)*(POWER(1+H6,F6)-1)/(POWER(1+H6,D6)-1),3))</f>
        <v>0.89700000000000002</v>
      </c>
      <c r="H6" s="785">
        <v>0.05</v>
      </c>
      <c r="I6" s="785">
        <v>5.5E-2</v>
      </c>
      <c r="J6" s="73">
        <v>8.5000000000000006E-2</v>
      </c>
      <c r="K6" s="1234">
        <f>SUMIF('数据-汇总表'!C$19:C$33,A6,'数据-汇总表'!E$19:E$33)</f>
        <v>125.85</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v>
      </c>
      <c r="AF6" s="1787"/>
      <c r="AG6" s="138">
        <f>IF(AF6="",0,AE6-AF6)</f>
        <v>0</v>
      </c>
      <c r="AH6" s="82"/>
      <c r="AI6" s="84">
        <v>365</v>
      </c>
      <c r="AJ6" s="85"/>
      <c r="AK6" s="86">
        <v>1.4999999999999999E-2</v>
      </c>
      <c r="AL6" s="87">
        <v>1.5E-3</v>
      </c>
      <c r="AM6" s="88">
        <v>0.01</v>
      </c>
      <c r="AN6" s="2290" t="s">
        <v>3054</v>
      </c>
      <c r="AO6" s="55">
        <f ca="1">SUMIF(INDIRECT("'"&amp;AN6&amp;"'"&amp;"!A:A"),"总价",INDIRECT("'"&amp;AN6&amp;"'"&amp;"!B:B"))</f>
        <v>450</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3" customFormat="1" ht="14.25">
      <c r="A7" s="2287" t="str">
        <f>'数据-汇总表'!C20</f>
        <v>其他用房</v>
      </c>
      <c r="B7" s="2288" t="str">
        <f t="shared" ref="B7:B13" si="1">IF(A7=0,"","经营性")</f>
        <v>经营性</v>
      </c>
      <c r="C7" s="2289" t="s">
        <v>27</v>
      </c>
      <c r="D7" s="1034">
        <f>SUMIF(项目基本情况!D$12:I$12,C7,项目基本情况!D$14:I$14)</f>
        <v>50</v>
      </c>
      <c r="E7" s="1031">
        <f>IF(B7="","",SUMIF(项目基本情况!D$12:I$12,C7,项目基本情况!D$13:I$13))</f>
        <v>56663</v>
      </c>
      <c r="F7" s="71">
        <f>SUMIF(项目基本情况!D$12:I$12,C7,项目基本情况!D$15:I$15)</f>
        <v>35</v>
      </c>
      <c r="G7" s="72">
        <f t="shared" ref="G7:G11" si="2">IF(ISERROR(ROUND(POWER(1+H7,D7-F7)*(POWER(1+H7,F7)-1)/(POWER(1+H7,D7)-1),3)),0,ROUND(POWER(1+H7,D7-F7)*(POWER(1+H7,F7)-1)/(POWER(1+H7,D7)-1),3))</f>
        <v>0.89700000000000002</v>
      </c>
      <c r="H7" s="785">
        <f>H6</f>
        <v>0.05</v>
      </c>
      <c r="I7" s="785">
        <f>I6</f>
        <v>5.5E-2</v>
      </c>
      <c r="J7" s="73">
        <f>J6</f>
        <v>8.5000000000000006E-2</v>
      </c>
      <c r="K7" s="1234">
        <f>SUMIF('数据-汇总表'!C$19:C$33,A7,'数据-汇总表'!E$19:E$33)</f>
        <v>1140.8</v>
      </c>
      <c r="L7" s="786">
        <f>L6</f>
        <v>2800</v>
      </c>
      <c r="M7" s="74">
        <f t="shared" si="0"/>
        <v>319</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0"/>
      <c r="AO7" s="55" t="e">
        <f t="shared" ref="AO7:AO13" ca="1" si="8">SUMIF(INDIRECT("'"&amp;AN7&amp;"'"&amp;"!A:A"),"总价",INDIRECT("'"&amp;AN7&amp;"'"&amp;"!B:B"))</f>
        <v>#REF!</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3" customFormat="1" ht="14.25" hidden="1">
      <c r="A8" s="2287">
        <f>'数据-汇总表'!C21</f>
        <v>0</v>
      </c>
      <c r="B8" s="2288" t="str">
        <f t="shared" si="1"/>
        <v/>
      </c>
      <c r="C8" s="2289"/>
      <c r="D8" s="1034">
        <f>SUMIF(项目基本情况!D$12:I$12,C8,项目基本情况!D$14:I$14)</f>
        <v>0</v>
      </c>
      <c r="E8" s="1031" t="str">
        <f>IF(B8="","",SUMIF(项目基本情况!D$12:I$12,C8,项目基本情况!D$13:I$13))</f>
        <v/>
      </c>
      <c r="F8" s="71">
        <f>SUMIF(项目基本情况!D$12:I$12,C8,项目基本情况!D$15:I$15)</f>
        <v>0</v>
      </c>
      <c r="G8" s="72">
        <f t="shared" si="2"/>
        <v>0</v>
      </c>
      <c r="H8" s="785"/>
      <c r="I8" s="785"/>
      <c r="J8" s="73"/>
      <c r="K8" s="1234">
        <f>SUMIF('数据-汇总表'!C$19:C$33,A8,'数据-汇总表'!E$19:E$33)</f>
        <v>0</v>
      </c>
      <c r="L8" s="786"/>
      <c r="M8" s="74">
        <f>ROUND(K8*L8/10000,0)</f>
        <v>0</v>
      </c>
      <c r="N8" s="784"/>
      <c r="O8" s="74" t="str">
        <f t="shared" si="3"/>
        <v>——</v>
      </c>
      <c r="P8" s="75" t="str">
        <f t="shared" si="4"/>
        <v>——</v>
      </c>
      <c r="Q8" s="787"/>
      <c r="R8" s="76">
        <f ca="1">SUMIF('数据-汇总表'!C$19:C$33,A8,'数据-汇总表'!R$19:R$27)</f>
        <v>0</v>
      </c>
      <c r="S8" s="54">
        <f>IF('数据-汇总表'!$I$17="按面积比例",SUMIF('数据-汇总表'!C$19:C$33,A8,'数据-汇总表'!K$19:K$33),SUMIF('数据-汇总表'!C$19:C$33,A8,'数据-汇总表'!N$19:N$33))</f>
        <v>0</v>
      </c>
      <c r="T8" s="1426">
        <f t="shared" si="5"/>
        <v>0</v>
      </c>
      <c r="U8" s="788"/>
      <c r="V8" s="789"/>
      <c r="W8" s="789"/>
      <c r="X8" s="1244"/>
      <c r="Y8" s="790"/>
      <c r="Z8" s="80"/>
      <c r="AA8" s="73"/>
      <c r="AB8" s="73"/>
      <c r="AC8" s="1244"/>
      <c r="AD8" s="81"/>
      <c r="AE8" s="1245">
        <f t="shared" ca="1" si="6"/>
        <v>0</v>
      </c>
      <c r="AF8" s="1787"/>
      <c r="AG8" s="138">
        <f t="shared" si="7"/>
        <v>0</v>
      </c>
      <c r="AH8" s="791"/>
      <c r="AI8" s="84"/>
      <c r="AJ8" s="85"/>
      <c r="AK8" s="792"/>
      <c r="AL8" s="793"/>
      <c r="AM8" s="794"/>
      <c r="AN8" s="2290"/>
      <c r="AO8" s="55" t="e">
        <f t="shared" ca="1" si="8"/>
        <v>#REF!</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3" customFormat="1" ht="14.25" hidden="1">
      <c r="A9" s="2287">
        <f>'数据-汇总表'!C22</f>
        <v>0</v>
      </c>
      <c r="B9" s="2288" t="str">
        <f t="shared" si="1"/>
        <v/>
      </c>
      <c r="C9" s="2289"/>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0"/>
      <c r="AO9" s="55" t="e">
        <f t="shared" ca="1" si="8"/>
        <v>#REF!</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3" customFormat="1" ht="14.25" hidden="1">
      <c r="A10" s="2287">
        <f>'数据-汇总表'!C23</f>
        <v>0</v>
      </c>
      <c r="B10" s="2288" t="str">
        <f t="shared" si="1"/>
        <v/>
      </c>
      <c r="C10" s="2289"/>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3" customFormat="1" ht="14.25" hidden="1">
      <c r="A11" s="2287">
        <f>'数据-汇总表'!C24</f>
        <v>0</v>
      </c>
      <c r="B11" s="2288" t="str">
        <f t="shared" si="1"/>
        <v/>
      </c>
      <c r="C11" s="2289"/>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3" customFormat="1" ht="14.25" hidden="1">
      <c r="A12" s="2287">
        <f>'数据-汇总表'!C25</f>
        <v>0</v>
      </c>
      <c r="B12" s="2288" t="str">
        <f t="shared" si="1"/>
        <v/>
      </c>
      <c r="C12" s="2289"/>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3" customFormat="1" ht="14.25" hidden="1">
      <c r="A13" s="2287">
        <f>'数据-汇总表'!C26</f>
        <v>0</v>
      </c>
      <c r="B13" s="2288" t="str">
        <f t="shared" si="1"/>
        <v/>
      </c>
      <c r="C13" s="2289"/>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3" customFormat="1" ht="14.25">
      <c r="A14" s="2292" t="s">
        <v>2006</v>
      </c>
      <c r="B14" s="2288" t="s">
        <v>2007</v>
      </c>
      <c r="C14" s="2293" t="s">
        <v>2006</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3" customFormat="1" ht="27">
      <c r="A15" s="2292" t="s">
        <v>2008</v>
      </c>
      <c r="B15" s="2288" t="s">
        <v>2007</v>
      </c>
      <c r="C15" s="2293" t="s">
        <v>2009</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3" customFormat="1" ht="15.75" thickBot="1">
      <c r="A16" s="2294" t="s">
        <v>2010</v>
      </c>
      <c r="B16" s="96"/>
      <c r="C16" s="988"/>
      <c r="D16" s="2295"/>
      <c r="E16" s="96"/>
      <c r="F16" s="96"/>
      <c r="G16" s="97">
        <f>ROUND(SUMPRODUCT(G6:G13,K6:K13)/SUMPRODUCT((G6:G13&gt;0)*(K6:K13)),3)</f>
        <v>0.89700000000000002</v>
      </c>
      <c r="H16" s="98">
        <f>ROUND(SUMPRODUCT(H6:H13,K6:K13)/SUMPRODUCT((H6:H13&gt;0)*(K6:K13)),3)</f>
        <v>0.05</v>
      </c>
      <c r="I16" s="99"/>
      <c r="J16" s="99"/>
      <c r="K16" s="100">
        <f>SUM(K6:K15)</f>
        <v>1266.6499999999999</v>
      </c>
      <c r="L16" s="101">
        <f>ROUND(M16*10000/SUM(K6:K14),0)</f>
        <v>2795</v>
      </c>
      <c r="M16" s="101">
        <f>SUM(M6:M14)</f>
        <v>354</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5" thickBot="1">
      <c r="A17" s="2296"/>
      <c r="B17" s="715"/>
      <c r="C17" s="1564"/>
      <c r="D17" s="2254"/>
      <c r="E17" s="2254"/>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2011</v>
      </c>
      <c r="B18" s="2261"/>
      <c r="C18" s="2258"/>
      <c r="D18" s="2259"/>
      <c r="E18" s="2258"/>
      <c r="F18" s="2258"/>
      <c r="G18" s="2258"/>
      <c r="H18" s="2258"/>
      <c r="I18" s="2258"/>
      <c r="J18" s="2258"/>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25">
      <c r="A19" s="2297" t="s">
        <v>2012</v>
      </c>
      <c r="B19" s="2943">
        <v>0.5</v>
      </c>
      <c r="C19" s="2258" t="s">
        <v>2013</v>
      </c>
      <c r="D19" s="2259"/>
      <c r="E19" s="2258"/>
      <c r="F19" s="2258"/>
      <c r="G19" s="2258"/>
      <c r="H19" s="2258"/>
      <c r="I19" s="2258"/>
      <c r="J19" s="2258"/>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25">
      <c r="A20" s="2298" t="s">
        <v>2014</v>
      </c>
      <c r="B20" s="2944">
        <v>1.5</v>
      </c>
      <c r="C20" s="2258" t="s">
        <v>2015</v>
      </c>
      <c r="D20" s="2259"/>
      <c r="E20" s="2258"/>
      <c r="F20" s="2258"/>
      <c r="G20" s="2258"/>
      <c r="H20" s="2258"/>
      <c r="I20" s="2258"/>
      <c r="J20" s="2258"/>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25">
      <c r="A21" s="2299" t="s">
        <v>2016</v>
      </c>
      <c r="B21" s="2944">
        <v>1.5</v>
      </c>
      <c r="C21" s="2258"/>
      <c r="D21" s="2259"/>
      <c r="E21" s="2258"/>
      <c r="F21" s="2258"/>
      <c r="G21" s="2258"/>
      <c r="H21" s="2258"/>
      <c r="I21" s="2258"/>
      <c r="J21" s="2258"/>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25">
      <c r="A22" s="2298" t="s">
        <v>2017</v>
      </c>
      <c r="B22" s="111">
        <f>B19+B20</f>
        <v>2</v>
      </c>
      <c r="C22" s="2258"/>
      <c r="D22" s="2259"/>
      <c r="E22" s="2258"/>
      <c r="F22" s="2258"/>
      <c r="G22" s="2258"/>
      <c r="H22" s="2258"/>
      <c r="I22" s="2258"/>
      <c r="J22" s="2258"/>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25">
      <c r="A23" s="2299" t="s">
        <v>2018</v>
      </c>
      <c r="B23" s="111">
        <f>B19+B21</f>
        <v>2</v>
      </c>
      <c r="C23" s="2258"/>
      <c r="D23" s="2259"/>
      <c r="E23" s="2258"/>
      <c r="F23" s="2258"/>
      <c r="G23" s="2258"/>
      <c r="H23" s="2258"/>
      <c r="I23" s="2258"/>
      <c r="J23" s="2258"/>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2019</v>
      </c>
      <c r="B24" s="112">
        <f>B20-B21</f>
        <v>0</v>
      </c>
      <c r="C24" s="2258"/>
      <c r="D24" s="2259"/>
      <c r="E24" s="2258"/>
      <c r="F24" s="2258"/>
      <c r="G24" s="2258"/>
      <c r="H24" s="2258"/>
      <c r="I24" s="2258"/>
      <c r="J24" s="2258"/>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5" thickBot="1">
      <c r="A25" s="2011"/>
      <c r="B25" s="2261"/>
      <c r="C25" s="2258"/>
      <c r="D25" s="2259"/>
      <c r="E25" s="2258"/>
      <c r="F25" s="2258"/>
      <c r="G25" s="2258"/>
      <c r="H25" s="2258"/>
      <c r="I25" s="2258"/>
      <c r="J25" s="2258"/>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2020</v>
      </c>
      <c r="B26" s="2301" t="s">
        <v>2021</v>
      </c>
      <c r="C26" s="2302" t="s">
        <v>2022</v>
      </c>
      <c r="D26" s="2259"/>
      <c r="E26" s="2258"/>
      <c r="F26" s="2258"/>
      <c r="G26" s="2258"/>
      <c r="H26" s="2258"/>
      <c r="I26" s="2258"/>
      <c r="J26" s="2258"/>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7.75">
      <c r="A27" s="2303" t="s">
        <v>2023</v>
      </c>
      <c r="B27" s="2945">
        <v>160</v>
      </c>
      <c r="C27" s="1747" t="s">
        <v>2024</v>
      </c>
      <c r="D27" s="2304"/>
      <c r="E27" s="1410"/>
      <c r="F27" s="1410"/>
      <c r="G27" s="2258"/>
      <c r="H27" s="2258"/>
      <c r="I27" s="2258"/>
      <c r="J27" s="2258"/>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7.75">
      <c r="A28" s="2306" t="s">
        <v>2025</v>
      </c>
      <c r="B28" s="2946">
        <v>200</v>
      </c>
      <c r="C28" s="2307"/>
      <c r="D28" s="2304"/>
      <c r="E28" s="1410"/>
      <c r="F28" s="1410"/>
      <c r="G28" s="2258"/>
      <c r="H28" s="2258"/>
      <c r="I28" s="2258"/>
      <c r="J28" s="2258"/>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8.5" thickBot="1">
      <c r="A29" s="2308" t="s">
        <v>2026</v>
      </c>
      <c r="B29" s="2947">
        <f>ROUND(K6*B28/10000,2)</f>
        <v>2.52</v>
      </c>
      <c r="C29" s="1747" t="s">
        <v>2027</v>
      </c>
      <c r="D29" s="2304"/>
      <c r="E29" s="1410"/>
      <c r="F29" s="1410"/>
      <c r="G29" s="2258"/>
      <c r="H29" s="2258"/>
      <c r="I29" s="2258"/>
      <c r="J29" s="2258"/>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7">
      <c r="A30" s="2309" t="s">
        <v>2028</v>
      </c>
      <c r="B30" s="2948">
        <v>200</v>
      </c>
      <c r="C30" s="2307"/>
      <c r="D30" s="2304"/>
      <c r="E30" s="1410"/>
      <c r="F30" s="1410"/>
      <c r="G30" s="2258"/>
      <c r="H30" s="2258"/>
      <c r="I30" s="2258"/>
      <c r="J30" s="2258"/>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7">
      <c r="A31" s="2306" t="s">
        <v>2029</v>
      </c>
      <c r="B31" s="115">
        <f>B30-B32</f>
        <v>200</v>
      </c>
      <c r="C31" s="1747"/>
      <c r="D31" s="2304"/>
      <c r="E31" s="1410"/>
      <c r="F31" s="1410"/>
      <c r="G31" s="2258"/>
      <c r="H31" s="2258"/>
      <c r="I31" s="2258"/>
      <c r="J31" s="2258"/>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7.75" thickBot="1">
      <c r="A32" s="2310" t="s">
        <v>2030</v>
      </c>
      <c r="B32" s="2955">
        <v>0</v>
      </c>
      <c r="C32" s="2307"/>
      <c r="D32" s="2259"/>
      <c r="E32" s="2258"/>
      <c r="F32" s="2258"/>
      <c r="G32" s="2258"/>
      <c r="H32" s="2258"/>
      <c r="I32" s="2258"/>
      <c r="J32" s="2258"/>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25">
      <c r="A33" s="2303" t="s">
        <v>2031</v>
      </c>
      <c r="B33" s="2956">
        <v>0.03</v>
      </c>
      <c r="C33" s="1746" t="s">
        <v>2032</v>
      </c>
      <c r="D33" s="2259"/>
      <c r="E33" s="2258"/>
      <c r="F33" s="2258"/>
      <c r="G33" s="2258"/>
      <c r="H33" s="2258"/>
      <c r="I33" s="2258"/>
      <c r="J33" s="2258"/>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25">
      <c r="A34" s="2306" t="s">
        <v>2033</v>
      </c>
      <c r="B34" s="2952">
        <v>0</v>
      </c>
      <c r="C34" s="1746" t="s">
        <v>2034</v>
      </c>
      <c r="D34" s="2259" t="s">
        <v>2035</v>
      </c>
      <c r="E34" s="715"/>
      <c r="F34" s="2258"/>
      <c r="G34" s="2258"/>
      <c r="H34" s="2258"/>
      <c r="I34" s="2258"/>
      <c r="J34" s="2258"/>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25">
      <c r="A35" s="2306" t="s">
        <v>2036</v>
      </c>
      <c r="B35" s="2951">
        <v>200</v>
      </c>
      <c r="C35" s="1746" t="s">
        <v>2037</v>
      </c>
      <c r="D35" s="2304"/>
      <c r="E35" s="1410"/>
      <c r="F35" s="1410"/>
      <c r="G35" s="2258"/>
      <c r="H35" s="2258"/>
      <c r="I35" s="2258"/>
      <c r="J35" s="2258"/>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2038</v>
      </c>
      <c r="B36" s="2953">
        <v>1.4999999999999999E-2</v>
      </c>
      <c r="C36" s="1746" t="s">
        <v>2039</v>
      </c>
      <c r="D36" s="2259"/>
      <c r="E36" s="2258"/>
      <c r="F36" s="2258"/>
      <c r="G36" s="2258"/>
      <c r="H36" s="2258"/>
      <c r="I36" s="2258"/>
      <c r="J36" s="2258"/>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25">
      <c r="A37" s="2309" t="s">
        <v>2040</v>
      </c>
      <c r="B37" s="2954">
        <v>0.02</v>
      </c>
      <c r="C37" s="1746" t="s">
        <v>2041</v>
      </c>
      <c r="D37" s="2259"/>
      <c r="E37" s="2258"/>
      <c r="F37" s="2258"/>
      <c r="G37" s="2258"/>
      <c r="H37" s="2258"/>
      <c r="I37" s="2258"/>
      <c r="J37" s="2258"/>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25">
      <c r="A38" s="2306" t="s">
        <v>2042</v>
      </c>
      <c r="B38" s="2952">
        <v>0.02</v>
      </c>
      <c r="C38" s="1746" t="s">
        <v>2041</v>
      </c>
      <c r="D38" s="2259"/>
      <c r="E38" s="2258"/>
      <c r="F38" s="2258"/>
      <c r="G38" s="2258"/>
      <c r="H38" s="2258"/>
      <c r="I38" s="2258"/>
      <c r="J38" s="2258"/>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25">
      <c r="A39" s="2310" t="s">
        <v>2043</v>
      </c>
      <c r="B39" s="353">
        <f ca="1">存贷款利率!I1</f>
        <v>1.4999999999999999E-2</v>
      </c>
      <c r="C39" s="1746"/>
      <c r="D39" s="2259"/>
      <c r="E39" s="2258"/>
      <c r="F39" s="2258"/>
      <c r="G39" s="2258"/>
      <c r="H39" s="2258"/>
      <c r="I39" s="2258"/>
      <c r="J39" s="2258"/>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2044</v>
      </c>
      <c r="B40" s="1283">
        <f ca="1">存贷款利率!G1</f>
        <v>4.7500000000000001E-2</v>
      </c>
      <c r="C40" s="1746" t="s">
        <v>2045</v>
      </c>
      <c r="D40" s="1564"/>
      <c r="E40" s="2259"/>
      <c r="F40" s="2258"/>
      <c r="G40" s="2258"/>
      <c r="H40" s="2258"/>
      <c r="I40" s="2258"/>
      <c r="J40" s="2258"/>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25">
      <c r="A41" s="2303" t="s">
        <v>2046</v>
      </c>
      <c r="B41" s="116">
        <f>B42+B43</f>
        <v>5.6000000000000001E-2</v>
      </c>
      <c r="C41" s="1747"/>
      <c r="D41" s="1564"/>
      <c r="E41" s="2259"/>
      <c r="F41" s="2258"/>
      <c r="G41" s="2258"/>
      <c r="H41" s="2258"/>
      <c r="I41" s="2258"/>
      <c r="J41" s="2258"/>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25">
      <c r="A42" s="2311" t="s">
        <v>2047</v>
      </c>
      <c r="B42" s="117">
        <v>0.05</v>
      </c>
      <c r="C42" s="2312">
        <f>IF(B2&lt;DATE(2016,5,1),0,B42)</f>
        <v>0.05</v>
      </c>
      <c r="D42" s="2259"/>
      <c r="E42" s="2258"/>
      <c r="F42" s="2258"/>
      <c r="G42" s="2258"/>
      <c r="H42" s="2258"/>
      <c r="I42" s="2258"/>
      <c r="J42" s="2258"/>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25">
      <c r="A43" s="2311" t="s">
        <v>2048</v>
      </c>
      <c r="B43" s="118">
        <f>B42*(B44+B45+B46)+B47</f>
        <v>6.000000000000001E-3</v>
      </c>
      <c r="C43" s="1747"/>
      <c r="D43" s="2259"/>
      <c r="E43" s="2258"/>
      <c r="F43" s="2258"/>
      <c r="G43" s="2258"/>
      <c r="H43" s="2258"/>
      <c r="I43" s="2258"/>
      <c r="J43" s="2258"/>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25">
      <c r="A44" s="2313" t="s">
        <v>2049</v>
      </c>
      <c r="B44" s="119">
        <v>7.0000000000000007E-2</v>
      </c>
      <c r="C44" s="1746" t="s">
        <v>2050</v>
      </c>
      <c r="D44" s="2259"/>
      <c r="E44" s="2258"/>
      <c r="F44" s="2258"/>
      <c r="G44" s="2258"/>
      <c r="H44" s="2258"/>
      <c r="I44" s="2258"/>
      <c r="J44" s="2258"/>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25">
      <c r="A45" s="2313" t="s">
        <v>2051</v>
      </c>
      <c r="B45" s="117">
        <v>0.03</v>
      </c>
      <c r="C45" s="1747" t="s">
        <v>2052</v>
      </c>
      <c r="D45" s="2259"/>
      <c r="E45" s="2258"/>
      <c r="F45" s="2258"/>
      <c r="G45" s="2258"/>
      <c r="H45" s="2258"/>
      <c r="I45" s="2258"/>
      <c r="J45" s="2258"/>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25">
      <c r="A46" s="2313" t="s">
        <v>2053</v>
      </c>
      <c r="B46" s="117">
        <v>0.02</v>
      </c>
      <c r="C46" s="1747" t="s">
        <v>2054</v>
      </c>
      <c r="D46" s="2259"/>
      <c r="E46" s="2258"/>
      <c r="F46" s="2258"/>
      <c r="G46" s="2258"/>
      <c r="H46" s="2258"/>
      <c r="I46" s="2258"/>
      <c r="J46" s="2258"/>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2055</v>
      </c>
      <c r="B47" s="120">
        <v>0</v>
      </c>
      <c r="C47" s="1747" t="s">
        <v>2056</v>
      </c>
      <c r="D47" s="2259"/>
      <c r="E47" s="2258"/>
      <c r="F47" s="2258"/>
      <c r="G47" s="2258"/>
      <c r="H47" s="2258"/>
      <c r="I47" s="2258"/>
      <c r="J47" s="2258"/>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25">
      <c r="A48" s="2315" t="s">
        <v>2057</v>
      </c>
      <c r="B48" s="121">
        <v>0.03</v>
      </c>
      <c r="C48" s="1754" t="s">
        <v>2058</v>
      </c>
      <c r="D48" s="2259"/>
      <c r="E48" s="2258"/>
      <c r="F48" s="2258"/>
      <c r="G48" s="2258"/>
      <c r="H48" s="2258"/>
      <c r="I48" s="2258"/>
      <c r="J48" s="2258"/>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2059</v>
      </c>
      <c r="B49" s="117">
        <v>5.0000000000000001E-4</v>
      </c>
      <c r="C49" s="1754" t="s">
        <v>2060</v>
      </c>
      <c r="D49" s="2259"/>
      <c r="E49" s="2258"/>
      <c r="F49" s="2258"/>
      <c r="G49" s="2258"/>
      <c r="H49" s="2258"/>
      <c r="I49" s="2258"/>
      <c r="J49" s="2258"/>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25">
      <c r="A50" s="2316" t="s">
        <v>2061</v>
      </c>
      <c r="B50" s="122">
        <v>1.2E-2</v>
      </c>
      <c r="C50" s="1410"/>
      <c r="D50" s="2259"/>
      <c r="E50" s="2258"/>
      <c r="F50" s="2258"/>
      <c r="G50" s="2258"/>
      <c r="H50" s="2258"/>
      <c r="I50" s="2258"/>
      <c r="J50" s="2258"/>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2062</v>
      </c>
      <c r="B51" s="123">
        <v>0.12</v>
      </c>
      <c r="C51" s="1410"/>
      <c r="D51" s="2259"/>
      <c r="E51" s="2258"/>
      <c r="F51" s="2258"/>
      <c r="G51" s="2258"/>
      <c r="H51" s="2258"/>
      <c r="I51" s="2258"/>
      <c r="J51" s="2258"/>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25">
      <c r="A52" s="2316" t="s">
        <v>2063</v>
      </c>
      <c r="B52" s="124">
        <f>SUMIF(A54:A63,B53,B54:B63)</f>
        <v>1.5</v>
      </c>
      <c r="C52" s="1410"/>
      <c r="D52" s="2259"/>
      <c r="E52" s="2258"/>
      <c r="F52" s="2258"/>
      <c r="G52" s="2258"/>
      <c r="H52" s="2258"/>
      <c r="I52" s="2258"/>
      <c r="J52" s="2258"/>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7">
      <c r="A53" s="2306" t="s">
        <v>2064</v>
      </c>
      <c r="B53" s="2317" t="s">
        <v>56</v>
      </c>
      <c r="C53" s="1410" t="s">
        <v>2065</v>
      </c>
      <c r="D53" s="2318" t="s">
        <v>2066</v>
      </c>
      <c r="E53" s="2258"/>
      <c r="F53" s="2258"/>
      <c r="G53" s="2258"/>
      <c r="H53" s="2258"/>
      <c r="I53" s="2258"/>
      <c r="J53" s="2258"/>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25">
      <c r="A54" s="2319" t="s">
        <v>2067</v>
      </c>
      <c r="B54" s="83">
        <v>30</v>
      </c>
      <c r="C54" s="1410">
        <v>30</v>
      </c>
      <c r="D54" s="2259"/>
      <c r="E54" s="2258"/>
      <c r="F54" s="2258"/>
      <c r="G54" s="2258"/>
      <c r="H54" s="2258"/>
      <c r="I54" s="2258"/>
      <c r="J54" s="2258"/>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25">
      <c r="A55" s="2319" t="s">
        <v>2068</v>
      </c>
      <c r="B55" s="83">
        <v>24</v>
      </c>
      <c r="C55" s="1410">
        <v>24</v>
      </c>
      <c r="D55" s="2259"/>
      <c r="E55" s="2258"/>
      <c r="F55" s="2258"/>
      <c r="G55" s="2258"/>
      <c r="H55" s="2258"/>
      <c r="I55" s="2320"/>
      <c r="J55" s="2258"/>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25">
      <c r="A56" s="2319" t="s">
        <v>2069</v>
      </c>
      <c r="B56" s="83">
        <v>18</v>
      </c>
      <c r="C56" s="1410">
        <v>18</v>
      </c>
      <c r="D56" s="2259"/>
      <c r="E56" s="2258"/>
      <c r="F56" s="2258"/>
      <c r="G56" s="2258"/>
      <c r="H56" s="2258"/>
      <c r="I56" s="2258"/>
      <c r="J56" s="2258"/>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25">
      <c r="A57" s="2319" t="s">
        <v>2070</v>
      </c>
      <c r="B57" s="83">
        <v>12</v>
      </c>
      <c r="C57" s="1410">
        <v>12</v>
      </c>
      <c r="D57" s="2259"/>
      <c r="E57" s="2258"/>
      <c r="F57" s="2258"/>
      <c r="G57" s="2258"/>
      <c r="H57" s="2258"/>
      <c r="I57" s="2258"/>
      <c r="J57" s="2258"/>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25">
      <c r="A58" s="2319" t="s">
        <v>2071</v>
      </c>
      <c r="B58" s="83">
        <v>3</v>
      </c>
      <c r="C58" s="1410">
        <v>3</v>
      </c>
      <c r="D58" s="2259"/>
      <c r="E58" s="2258"/>
      <c r="F58" s="2258"/>
      <c r="G58" s="2258"/>
      <c r="H58" s="2258"/>
      <c r="I58" s="2258"/>
      <c r="J58" s="2258"/>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25">
      <c r="A59" s="2319" t="s">
        <v>2072</v>
      </c>
      <c r="B59" s="83">
        <v>1.5</v>
      </c>
      <c r="C59" s="1410">
        <v>1.5</v>
      </c>
      <c r="D59" s="2259"/>
      <c r="E59" s="2258"/>
      <c r="F59" s="2258"/>
      <c r="G59" s="2258"/>
      <c r="H59" s="2258"/>
      <c r="I59" s="2258"/>
      <c r="J59" s="2258"/>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25">
      <c r="A60" s="2319" t="s">
        <v>2073</v>
      </c>
      <c r="B60" s="83"/>
      <c r="C60" s="2258"/>
      <c r="D60" s="2259"/>
      <c r="E60" s="2258"/>
      <c r="F60" s="2258"/>
      <c r="G60" s="2258"/>
      <c r="H60" s="2258"/>
      <c r="I60" s="2258"/>
      <c r="J60" s="2258"/>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25">
      <c r="A61" s="2319" t="s">
        <v>2074</v>
      </c>
      <c r="B61" s="83"/>
      <c r="C61" s="2258"/>
      <c r="D61" s="2259"/>
      <c r="E61" s="2258"/>
      <c r="F61" s="2258"/>
      <c r="G61" s="2258"/>
      <c r="H61" s="2258"/>
      <c r="I61" s="2258"/>
      <c r="J61" s="2258"/>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25">
      <c r="A62" s="2319" t="s">
        <v>2075</v>
      </c>
      <c r="B62" s="83"/>
      <c r="C62" s="2258"/>
      <c r="D62" s="2259"/>
      <c r="E62" s="2258"/>
      <c r="F62" s="2258"/>
      <c r="G62" s="2258"/>
      <c r="H62" s="2258"/>
      <c r="I62" s="2258"/>
      <c r="J62" s="2258"/>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2076</v>
      </c>
      <c r="B63" s="125"/>
      <c r="C63" s="2258"/>
      <c r="D63" s="2259"/>
      <c r="E63" s="2258"/>
      <c r="F63" s="2258"/>
      <c r="G63" s="2258"/>
      <c r="H63" s="2258"/>
      <c r="I63" s="2258"/>
      <c r="J63" s="2258"/>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1"/>
      <c r="L64" s="781"/>
    </row>
    <row r="65" spans="1:12" s="947" customFormat="1">
      <c r="A65" s="2322"/>
      <c r="D65" s="2323"/>
      <c r="K65" s="781"/>
      <c r="L65" s="781"/>
    </row>
    <row r="66" spans="1:12" s="947" customFormat="1">
      <c r="A66" s="2322"/>
      <c r="D66" s="2323"/>
      <c r="K66" s="781"/>
      <c r="L66" s="781"/>
    </row>
    <row r="67" spans="1:12" s="947" customFormat="1">
      <c r="A67" s="2322"/>
      <c r="D67" s="2323"/>
      <c r="K67" s="781"/>
      <c r="L67" s="781"/>
    </row>
    <row r="68" spans="1:12" s="947" customFormat="1">
      <c r="A68" s="2322"/>
      <c r="D68" s="2323"/>
      <c r="K68" s="781"/>
      <c r="L68" s="781"/>
    </row>
    <row r="69" spans="1:12" s="947" customFormat="1">
      <c r="A69" s="2322"/>
      <c r="D69" s="2323"/>
      <c r="K69" s="781"/>
      <c r="L69" s="781"/>
    </row>
    <row r="70" spans="1:12" s="947" customFormat="1">
      <c r="A70" s="2322"/>
      <c r="D70" s="2323"/>
      <c r="K70" s="781"/>
      <c r="L70" s="781"/>
    </row>
    <row r="71" spans="1:12" s="947" customFormat="1">
      <c r="A71" s="2322"/>
      <c r="D71" s="2323"/>
      <c r="K71" s="781"/>
      <c r="L71" s="781"/>
    </row>
    <row r="72" spans="1:12" s="947" customFormat="1">
      <c r="A72" s="2322"/>
      <c r="D72" s="2323"/>
      <c r="K72" s="781"/>
      <c r="L72" s="781"/>
    </row>
    <row r="73" spans="1:12" s="947" customFormat="1">
      <c r="A73" s="2322"/>
      <c r="D73" s="2323"/>
      <c r="K73" s="781"/>
      <c r="L73" s="781"/>
    </row>
    <row r="74" spans="1:12" s="947" customFormat="1">
      <c r="A74" s="2322"/>
      <c r="D74" s="2323"/>
      <c r="K74" s="781"/>
      <c r="L74" s="781"/>
    </row>
    <row r="75" spans="1:12" s="947" customFormat="1">
      <c r="A75" s="2322"/>
      <c r="D75" s="2323"/>
      <c r="K75" s="781"/>
      <c r="L75" s="781"/>
    </row>
    <row r="76" spans="1:12" s="947" customFormat="1">
      <c r="A76" s="2322"/>
      <c r="D76" s="2323"/>
      <c r="K76" s="781"/>
      <c r="L76" s="781"/>
    </row>
    <row r="77" spans="1:12" s="947" customFormat="1">
      <c r="A77" s="2322"/>
      <c r="D77" s="2323"/>
      <c r="K77" s="781"/>
      <c r="L77" s="781"/>
    </row>
    <row r="78" spans="1:12" s="947" customFormat="1">
      <c r="A78" s="2322"/>
      <c r="D78" s="2323"/>
      <c r="K78" s="781"/>
      <c r="L78" s="781"/>
    </row>
    <row r="79" spans="1:12" s="947" customFormat="1">
      <c r="A79" s="2322"/>
      <c r="D79" s="2323"/>
      <c r="K79" s="781"/>
      <c r="L79" s="781"/>
    </row>
    <row r="80" spans="1:12" s="947" customFormat="1">
      <c r="A80" s="2322"/>
      <c r="D80" s="2323"/>
      <c r="K80" s="781"/>
      <c r="L80" s="781"/>
    </row>
    <row r="81" spans="1:12" s="947" customFormat="1">
      <c r="A81" s="2322"/>
      <c r="D81" s="2323"/>
      <c r="K81" s="781"/>
      <c r="L81" s="781"/>
    </row>
    <row r="82" spans="1:12" s="947" customFormat="1">
      <c r="A82" s="2322"/>
      <c r="D82" s="2323"/>
      <c r="K82" s="781"/>
      <c r="L82" s="781"/>
    </row>
    <row r="83" spans="1:12" s="947" customFormat="1">
      <c r="A83" s="2322"/>
      <c r="D83" s="2323"/>
      <c r="K83" s="781"/>
      <c r="L83" s="781"/>
    </row>
    <row r="84" spans="1:12" s="947" customFormat="1">
      <c r="A84" s="2322"/>
      <c r="D84" s="2323"/>
      <c r="K84" s="781"/>
      <c r="L84" s="781"/>
    </row>
    <row r="85" spans="1:12" s="947" customFormat="1">
      <c r="A85" s="2322"/>
      <c r="D85" s="2323"/>
      <c r="K85" s="781"/>
      <c r="L85" s="781"/>
    </row>
    <row r="86" spans="1:12" s="947" customFormat="1">
      <c r="A86" s="2322"/>
      <c r="D86" s="2323"/>
      <c r="K86" s="781"/>
      <c r="L86" s="781"/>
    </row>
    <row r="87" spans="1:12" s="947" customFormat="1">
      <c r="A87" s="2322"/>
      <c r="D87" s="2323"/>
      <c r="K87" s="781"/>
      <c r="L87" s="781"/>
    </row>
    <row r="88" spans="1:12" s="947" customFormat="1">
      <c r="A88" s="2322"/>
      <c r="D88" s="2323"/>
      <c r="K88" s="781"/>
      <c r="L88" s="781"/>
    </row>
    <row r="89" spans="1:12" s="947" customFormat="1">
      <c r="A89" s="2322"/>
      <c r="D89" s="2323"/>
      <c r="K89" s="781"/>
      <c r="L89" s="781"/>
    </row>
    <row r="90" spans="1:12" s="947" customFormat="1">
      <c r="A90" s="2322"/>
      <c r="D90" s="2323"/>
      <c r="K90" s="781"/>
      <c r="L90" s="781"/>
    </row>
    <row r="91" spans="1:12" s="947" customFormat="1">
      <c r="A91" s="2322"/>
      <c r="D91" s="2323"/>
      <c r="K91" s="781"/>
      <c r="L91" s="781"/>
    </row>
    <row r="92" spans="1:12" s="947" customFormat="1">
      <c r="A92" s="2322"/>
      <c r="D92" s="2323"/>
      <c r="K92" s="781"/>
      <c r="L92" s="781"/>
    </row>
    <row r="93" spans="1:12" s="947" customFormat="1">
      <c r="A93" s="2322"/>
      <c r="D93" s="2323"/>
      <c r="K93" s="781"/>
      <c r="L93" s="781"/>
    </row>
    <row r="94" spans="1:12" s="947" customFormat="1">
      <c r="A94" s="2322"/>
      <c r="D94" s="2323"/>
      <c r="K94" s="781"/>
      <c r="L94" s="781"/>
    </row>
    <row r="95" spans="1:12" s="947" customFormat="1">
      <c r="A95" s="2322"/>
      <c r="D95" s="2323"/>
      <c r="K95" s="781"/>
      <c r="L95" s="781"/>
    </row>
    <row r="96" spans="1:12" s="947" customFormat="1">
      <c r="A96" s="2322"/>
      <c r="D96" s="2323"/>
      <c r="K96" s="781"/>
      <c r="L96" s="781"/>
    </row>
    <row r="97" spans="1:12" s="947" customFormat="1">
      <c r="A97" s="2322"/>
      <c r="D97" s="2323"/>
      <c r="K97" s="781"/>
      <c r="L97" s="781"/>
    </row>
    <row r="98" spans="1:12" s="947" customFormat="1">
      <c r="A98" s="2322"/>
      <c r="D98" s="2323"/>
      <c r="K98" s="781"/>
      <c r="L98" s="781"/>
    </row>
    <row r="99" spans="1:12" s="947" customFormat="1">
      <c r="A99" s="2322"/>
      <c r="D99" s="2323"/>
      <c r="K99" s="781"/>
      <c r="L99" s="781"/>
    </row>
    <row r="100" spans="1:12" s="947" customFormat="1">
      <c r="A100" s="2322"/>
      <c r="D100" s="2323"/>
      <c r="K100" s="781"/>
      <c r="L100" s="781"/>
    </row>
    <row r="101" spans="1:12" s="947" customFormat="1">
      <c r="A101" s="2322"/>
      <c r="D101" s="2323"/>
      <c r="K101" s="781"/>
      <c r="L101" s="781"/>
    </row>
    <row r="102" spans="1:12" s="947" customFormat="1">
      <c r="A102" s="2322"/>
      <c r="D102" s="2323"/>
      <c r="K102" s="781"/>
      <c r="L102" s="781"/>
    </row>
    <row r="103" spans="1:12" s="947" customFormat="1">
      <c r="A103" s="2322"/>
      <c r="D103" s="2323"/>
      <c r="K103" s="781"/>
      <c r="L103" s="781"/>
    </row>
    <row r="104" spans="1:12" s="947" customFormat="1">
      <c r="A104" s="2322"/>
      <c r="D104" s="2323"/>
      <c r="K104" s="781"/>
      <c r="L104" s="781"/>
    </row>
    <row r="105" spans="1:12" s="947" customFormat="1">
      <c r="A105" s="2322"/>
      <c r="D105" s="2323"/>
      <c r="K105" s="781"/>
      <c r="L105" s="781"/>
    </row>
    <row r="106" spans="1:12" s="947" customFormat="1">
      <c r="A106" s="2322"/>
      <c r="D106" s="2323"/>
      <c r="K106" s="781"/>
      <c r="L106" s="781"/>
    </row>
    <row r="107" spans="1:12" s="947" customFormat="1">
      <c r="A107" s="2322"/>
      <c r="D107" s="2323"/>
      <c r="K107" s="781"/>
      <c r="L107" s="781"/>
    </row>
    <row r="108" spans="1:12" s="947" customFormat="1">
      <c r="A108" s="2322"/>
      <c r="D108" s="2323"/>
      <c r="K108" s="781"/>
      <c r="L108" s="781"/>
    </row>
    <row r="109" spans="1:12" s="947" customFormat="1">
      <c r="A109" s="2322"/>
      <c r="D109" s="2323"/>
      <c r="K109" s="781"/>
      <c r="L109" s="781"/>
    </row>
    <row r="110" spans="1:12" s="947" customFormat="1">
      <c r="A110" s="2322"/>
      <c r="D110" s="2323"/>
      <c r="K110" s="781"/>
      <c r="L110" s="781"/>
    </row>
    <row r="111" spans="1:12" s="947" customFormat="1">
      <c r="A111" s="2322"/>
      <c r="D111" s="2323"/>
      <c r="K111" s="781"/>
      <c r="L111" s="781"/>
    </row>
    <row r="112" spans="1:12" s="947" customFormat="1">
      <c r="A112" s="2322"/>
      <c r="D112" s="2323"/>
      <c r="K112" s="781"/>
      <c r="L112" s="781"/>
    </row>
    <row r="113" spans="1:12" s="947" customFormat="1">
      <c r="A113" s="2322"/>
      <c r="D113" s="2323"/>
      <c r="K113" s="781"/>
      <c r="L113" s="781"/>
    </row>
    <row r="114" spans="1:12" s="947" customFormat="1">
      <c r="A114" s="2322"/>
      <c r="D114" s="2323"/>
      <c r="K114" s="781"/>
      <c r="L114" s="781"/>
    </row>
    <row r="115" spans="1:12" s="947" customFormat="1">
      <c r="A115" s="2322"/>
      <c r="D115" s="2323"/>
      <c r="K115" s="781"/>
      <c r="L115" s="781"/>
    </row>
    <row r="116" spans="1:12" s="947" customFormat="1">
      <c r="A116" s="2322"/>
      <c r="D116" s="2323"/>
      <c r="K116" s="781"/>
      <c r="L116" s="781"/>
    </row>
    <row r="117" spans="1:12" s="947" customFormat="1">
      <c r="A117" s="2322"/>
      <c r="D117" s="2323"/>
      <c r="K117" s="781"/>
      <c r="L117" s="781"/>
    </row>
    <row r="118" spans="1:12" s="947" customFormat="1">
      <c r="A118" s="2322"/>
      <c r="D118" s="2323"/>
      <c r="K118" s="781"/>
      <c r="L118" s="781"/>
    </row>
    <row r="119" spans="1:12" s="947" customFormat="1">
      <c r="A119" s="2322"/>
      <c r="D119" s="2323"/>
      <c r="K119" s="781"/>
      <c r="L119" s="781"/>
    </row>
    <row r="120" spans="1:12" s="947" customFormat="1">
      <c r="A120" s="2322"/>
      <c r="D120" s="2323"/>
      <c r="K120" s="781"/>
      <c r="L120" s="781"/>
    </row>
    <row r="121" spans="1:12" s="947" customFormat="1">
      <c r="A121" s="2322"/>
      <c r="D121" s="2323"/>
      <c r="K121" s="781"/>
      <c r="L121" s="781"/>
    </row>
    <row r="122" spans="1:12" s="947" customFormat="1">
      <c r="A122" s="2322"/>
      <c r="D122" s="2323"/>
      <c r="K122" s="781"/>
      <c r="L122" s="781"/>
    </row>
    <row r="123" spans="1:12" s="947" customFormat="1">
      <c r="A123" s="2322"/>
      <c r="D123" s="2323"/>
      <c r="K123" s="781"/>
      <c r="L123" s="781"/>
    </row>
    <row r="124" spans="1:12" s="947" customFormat="1">
      <c r="A124" s="2322"/>
      <c r="D124" s="2323"/>
      <c r="K124" s="781"/>
      <c r="L124" s="781"/>
    </row>
    <row r="125" spans="1:12" s="947" customFormat="1">
      <c r="A125" s="2322"/>
      <c r="D125" s="2323"/>
      <c r="K125" s="781"/>
      <c r="L125" s="781"/>
    </row>
    <row r="126" spans="1:12" s="947" customFormat="1">
      <c r="A126" s="2322"/>
      <c r="D126" s="2323"/>
      <c r="K126" s="781"/>
      <c r="L126" s="781"/>
    </row>
    <row r="127" spans="1:12" s="947" customFormat="1">
      <c r="A127" s="2322"/>
      <c r="D127" s="2323"/>
      <c r="K127" s="781"/>
      <c r="L127" s="781"/>
    </row>
    <row r="128" spans="1:12" s="947" customFormat="1">
      <c r="A128" s="2322"/>
      <c r="D128" s="2323"/>
      <c r="K128" s="781"/>
      <c r="L128" s="781"/>
    </row>
    <row r="129" spans="1:12" s="947" customFormat="1">
      <c r="A129" s="2322"/>
      <c r="D129" s="2323"/>
      <c r="K129" s="781"/>
      <c r="L129" s="781"/>
    </row>
    <row r="130" spans="1:12" s="947" customFormat="1">
      <c r="A130" s="2322"/>
      <c r="D130" s="2323"/>
      <c r="K130" s="781"/>
      <c r="L130" s="781"/>
    </row>
    <row r="131" spans="1:12" s="947" customFormat="1">
      <c r="A131" s="2322"/>
      <c r="D131" s="2323"/>
      <c r="K131" s="781"/>
      <c r="L131" s="781"/>
    </row>
    <row r="132" spans="1:12" s="947" customFormat="1">
      <c r="A132" s="2322"/>
      <c r="D132" s="2323"/>
      <c r="K132" s="781"/>
      <c r="L132" s="781"/>
    </row>
    <row r="133" spans="1:12" s="947" customFormat="1">
      <c r="A133" s="2322"/>
      <c r="D133" s="2323"/>
      <c r="K133" s="781"/>
      <c r="L133" s="781"/>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49"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48"/>
    <col min="30" max="16384" width="9" style="2349"/>
  </cols>
  <sheetData>
    <row r="1" spans="1:29" s="2342" customFormat="1" ht="19.5" thickBot="1">
      <c r="A1" s="3098" t="s">
        <v>2077</v>
      </c>
      <c r="B1" s="3099"/>
      <c r="C1" s="3099"/>
      <c r="D1" s="3099"/>
      <c r="E1" s="3099"/>
      <c r="F1" s="3099"/>
      <c r="G1" s="3099"/>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75" thickBot="1">
      <c r="A2" s="2343"/>
      <c r="B2" s="2344"/>
      <c r="C2" s="2345" t="s">
        <v>2078</v>
      </c>
      <c r="D2" s="2346"/>
      <c r="E2" s="2347"/>
      <c r="F2" s="2267"/>
      <c r="G2" s="2345" t="s">
        <v>2079</v>
      </c>
      <c r="H2" s="2348"/>
      <c r="I2" s="2348"/>
      <c r="J2" s="2348"/>
      <c r="K2" s="2348"/>
      <c r="L2" s="2348"/>
      <c r="M2" s="2348"/>
      <c r="N2" s="2348"/>
      <c r="O2" s="2348"/>
      <c r="P2" s="2348"/>
      <c r="Q2" s="2348"/>
      <c r="R2" s="2348"/>
    </row>
    <row r="3" spans="1:29" ht="27">
      <c r="A3" s="406" t="s">
        <v>2080</v>
      </c>
      <c r="B3" s="1251" t="s">
        <v>2081</v>
      </c>
      <c r="C3" s="2350"/>
      <c r="D3" s="2351"/>
      <c r="E3" s="422" t="s">
        <v>2080</v>
      </c>
      <c r="F3" s="2352" t="s">
        <v>2082</v>
      </c>
      <c r="G3" s="2353"/>
      <c r="H3" s="2348"/>
      <c r="I3" s="2348"/>
      <c r="J3" s="2348"/>
      <c r="K3" s="2348"/>
      <c r="L3" s="2348"/>
      <c r="M3" s="2348"/>
      <c r="N3" s="2348"/>
      <c r="O3" s="2348"/>
      <c r="P3" s="2348"/>
      <c r="Q3" s="2348"/>
      <c r="R3" s="2348"/>
    </row>
    <row r="4" spans="1:29" ht="15">
      <c r="A4" s="422"/>
      <c r="B4" s="1778" t="s">
        <v>2083</v>
      </c>
      <c r="C4" s="2354"/>
      <c r="D4" s="2351"/>
      <c r="E4" s="2355"/>
      <c r="F4" s="42" t="s">
        <v>2084</v>
      </c>
      <c r="G4" s="2356"/>
      <c r="H4" s="2348"/>
      <c r="I4" s="2348"/>
      <c r="J4" s="2348"/>
      <c r="K4" s="2348"/>
      <c r="L4" s="2348"/>
      <c r="M4" s="2348"/>
      <c r="N4" s="2348"/>
      <c r="O4" s="2348"/>
      <c r="P4" s="2348"/>
      <c r="Q4" s="2348"/>
      <c r="R4" s="2348"/>
    </row>
    <row r="5" spans="1:29" ht="15">
      <c r="A5" s="422"/>
      <c r="B5" s="1778" t="s">
        <v>2085</v>
      </c>
      <c r="C5" s="2354"/>
      <c r="D5" s="2351"/>
      <c r="E5" s="2355"/>
      <c r="F5" s="1778" t="s">
        <v>2086</v>
      </c>
      <c r="G5" s="2356"/>
      <c r="H5" s="2348"/>
      <c r="I5" s="2348"/>
      <c r="J5" s="2348"/>
      <c r="K5" s="2348"/>
      <c r="L5" s="2348"/>
      <c r="M5" s="2348"/>
      <c r="N5" s="2348"/>
      <c r="O5" s="2348"/>
      <c r="P5" s="2348"/>
      <c r="Q5" s="2348"/>
      <c r="R5" s="2348"/>
    </row>
    <row r="6" spans="1:29" ht="15">
      <c r="A6" s="422"/>
      <c r="B6" s="1778" t="s">
        <v>2087</v>
      </c>
      <c r="C6" s="2356"/>
      <c r="D6" s="2351"/>
      <c r="E6" s="2355"/>
      <c r="F6" s="1778" t="s">
        <v>2088</v>
      </c>
      <c r="G6" s="2356"/>
      <c r="H6" s="2348"/>
      <c r="I6" s="2348"/>
      <c r="J6" s="2348"/>
      <c r="K6" s="2348"/>
      <c r="L6" s="2348"/>
      <c r="M6" s="2348"/>
      <c r="N6" s="2348"/>
      <c r="O6" s="2348"/>
      <c r="P6" s="2348"/>
      <c r="Q6" s="2348"/>
      <c r="R6" s="2348"/>
    </row>
    <row r="7" spans="1:29" ht="15.75" thickBot="1">
      <c r="A7" s="422"/>
      <c r="B7" s="1778" t="s">
        <v>2086</v>
      </c>
      <c r="C7" s="2356"/>
      <c r="D7" s="2357"/>
      <c r="E7" s="2358"/>
      <c r="F7" s="2359" t="s">
        <v>2089</v>
      </c>
      <c r="G7" s="2360"/>
      <c r="H7" s="2348"/>
      <c r="I7" s="2348"/>
      <c r="J7" s="2348"/>
      <c r="K7" s="2348"/>
      <c r="L7" s="2348"/>
      <c r="M7" s="2348"/>
      <c r="N7" s="2348"/>
      <c r="O7" s="2348"/>
      <c r="P7" s="2348"/>
      <c r="Q7" s="2348"/>
      <c r="R7" s="2348"/>
    </row>
    <row r="8" spans="1:29" ht="15">
      <c r="A8" s="422"/>
      <c r="B8" s="1778" t="s">
        <v>2088</v>
      </c>
      <c r="C8" s="2356"/>
      <c r="D8" s="2357"/>
      <c r="E8" s="2357"/>
      <c r="F8" s="1116"/>
      <c r="G8" s="1116"/>
      <c r="H8" s="2348"/>
      <c r="I8" s="2348"/>
      <c r="J8" s="2348"/>
      <c r="K8" s="2348"/>
      <c r="L8" s="2348"/>
      <c r="M8" s="2348"/>
      <c r="N8" s="2348"/>
      <c r="O8" s="2348"/>
      <c r="P8" s="2348"/>
      <c r="Q8" s="2348"/>
      <c r="R8" s="2348"/>
    </row>
    <row r="9" spans="1:29" ht="15">
      <c r="A9" s="422"/>
      <c r="B9" s="1778" t="s">
        <v>2090</v>
      </c>
      <c r="C9" s="2354"/>
      <c r="D9" s="2351"/>
      <c r="E9" s="2357"/>
      <c r="F9" s="1116"/>
      <c r="G9" s="1116"/>
      <c r="H9" s="2348"/>
      <c r="I9" s="2348"/>
      <c r="J9" s="2348"/>
      <c r="K9" s="2348"/>
      <c r="L9" s="2348"/>
      <c r="M9" s="2348"/>
      <c r="N9" s="2348"/>
      <c r="O9" s="2348"/>
      <c r="P9" s="2348"/>
      <c r="Q9" s="2348"/>
      <c r="R9" s="2348"/>
    </row>
    <row r="10" spans="1:29" s="113" customFormat="1" ht="15.75" thickBot="1">
      <c r="A10" s="2361"/>
      <c r="B10" s="2362" t="s">
        <v>2091</v>
      </c>
      <c r="C10" s="2363"/>
      <c r="D10" s="2351"/>
      <c r="E10" s="2351"/>
      <c r="F10" s="1116"/>
      <c r="G10" s="111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3" customFormat="1" ht="15">
      <c r="A11" s="2367"/>
      <c r="B11" s="2357"/>
      <c r="C11" s="2351"/>
      <c r="D11" s="2351"/>
      <c r="E11" s="2351"/>
      <c r="F11" s="2357"/>
      <c r="G11" s="113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8">
      <c r="A12" s="2367"/>
      <c r="B12" s="2357"/>
      <c r="C12" s="2351"/>
      <c r="D12" s="2368"/>
      <c r="E12" s="2351"/>
      <c r="F12" s="2357"/>
      <c r="G12" s="113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9.5" thickBot="1">
      <c r="A13" s="2374" t="s">
        <v>2092</v>
      </c>
      <c r="B13" s="2368"/>
      <c r="C13" s="2368"/>
      <c r="D13" s="2375"/>
      <c r="E13" s="2368"/>
      <c r="F13" s="2368"/>
      <c r="G13" s="2368"/>
    </row>
    <row r="14" spans="1:29" ht="15.75" thickBot="1">
      <c r="A14" s="2379"/>
      <c r="B14" s="2380"/>
      <c r="C14" s="2381" t="s">
        <v>2093</v>
      </c>
      <c r="D14" s="2351"/>
      <c r="E14" s="2382"/>
      <c r="F14" s="2382"/>
      <c r="G14" s="2345" t="s">
        <v>2094</v>
      </c>
    </row>
    <row r="15" spans="1:29" ht="27">
      <c r="A15" s="67" t="s">
        <v>2095</v>
      </c>
      <c r="B15" s="1250" t="s">
        <v>2081</v>
      </c>
      <c r="C15" s="2383">
        <f>C3</f>
        <v>0</v>
      </c>
      <c r="D15" s="2351"/>
      <c r="E15" s="2384" t="s">
        <v>2096</v>
      </c>
      <c r="F15" s="1250" t="s">
        <v>2097</v>
      </c>
      <c r="G15" s="126">
        <f>G3</f>
        <v>0</v>
      </c>
    </row>
    <row r="16" spans="1:29" ht="15">
      <c r="A16" s="634"/>
      <c r="B16" s="2385" t="s">
        <v>2083</v>
      </c>
      <c r="C16" s="2386">
        <f>C4</f>
        <v>0</v>
      </c>
      <c r="D16" s="2351"/>
      <c r="E16" s="2387"/>
      <c r="F16" s="2388" t="s">
        <v>2084</v>
      </c>
      <c r="G16" s="127">
        <f>G4</f>
        <v>0</v>
      </c>
    </row>
    <row r="17" spans="1:18" ht="15">
      <c r="A17" s="634"/>
      <c r="B17" s="2385" t="s">
        <v>2085</v>
      </c>
      <c r="C17" s="2386">
        <f>C5</f>
        <v>0</v>
      </c>
      <c r="D17" s="2357"/>
      <c r="E17" s="2387"/>
      <c r="F17" s="2388" t="s">
        <v>2098</v>
      </c>
      <c r="G17" s="1552"/>
    </row>
    <row r="18" spans="1:18" ht="15">
      <c r="A18" s="634"/>
      <c r="B18" s="2388" t="s">
        <v>2087</v>
      </c>
      <c r="C18" s="127">
        <f>C6</f>
        <v>0</v>
      </c>
      <c r="D18" s="2357"/>
      <c r="E18" s="2387"/>
      <c r="F18" s="2388" t="s">
        <v>2089</v>
      </c>
      <c r="G18" s="127">
        <f>G7</f>
        <v>0</v>
      </c>
    </row>
    <row r="19" spans="1:18" ht="15">
      <c r="A19" s="634"/>
      <c r="B19" s="2388" t="s">
        <v>2099</v>
      </c>
      <c r="C19" s="1552"/>
      <c r="D19" s="2351"/>
      <c r="E19" s="2387"/>
      <c r="F19" s="1778" t="s">
        <v>2086</v>
      </c>
      <c r="G19" s="127">
        <f>G5</f>
        <v>0</v>
      </c>
    </row>
    <row r="20" spans="1:18" ht="15">
      <c r="A20" s="634"/>
      <c r="B20" s="2388" t="s">
        <v>2100</v>
      </c>
      <c r="C20" s="2386">
        <f>C9</f>
        <v>0</v>
      </c>
      <c r="D20" s="2357"/>
      <c r="E20" s="2387"/>
      <c r="F20" s="1778" t="s">
        <v>2101</v>
      </c>
      <c r="G20" s="127">
        <f>G6</f>
        <v>0</v>
      </c>
    </row>
    <row r="21" spans="1:18" ht="15">
      <c r="A21" s="634"/>
      <c r="B21" s="1778" t="s">
        <v>2086</v>
      </c>
      <c r="C21" s="127">
        <f>C7</f>
        <v>0</v>
      </c>
      <c r="D21" s="2351"/>
      <c r="E21" s="2387"/>
      <c r="F21" s="2388" t="s">
        <v>2102</v>
      </c>
      <c r="G21" s="2389"/>
    </row>
    <row r="22" spans="1:18" ht="13.5" customHeight="1">
      <c r="A22" s="634"/>
      <c r="B22" s="1778" t="s">
        <v>2088</v>
      </c>
      <c r="C22" s="127">
        <f>C8</f>
        <v>0</v>
      </c>
      <c r="D22" s="2351"/>
      <c r="E22" s="2387"/>
      <c r="F22" s="2388" t="s">
        <v>2091</v>
      </c>
      <c r="G22" s="1552"/>
    </row>
    <row r="23" spans="1:18" s="2348" customFormat="1" ht="15.75" thickBot="1">
      <c r="A23" s="634"/>
      <c r="B23" s="2388" t="s">
        <v>2102</v>
      </c>
      <c r="C23" s="2389"/>
      <c r="D23" s="2376"/>
      <c r="E23" s="2390"/>
      <c r="F23" s="2391" t="s">
        <v>2103</v>
      </c>
      <c r="G23" s="2392"/>
      <c r="H23" s="2376"/>
      <c r="I23" s="2377"/>
      <c r="J23" s="2376"/>
      <c r="K23" s="2376"/>
      <c r="L23" s="2377"/>
      <c r="M23" s="2376"/>
      <c r="N23" s="2376"/>
      <c r="O23" s="2377"/>
      <c r="P23" s="2376"/>
      <c r="Q23" s="2376"/>
      <c r="R23" s="2378"/>
    </row>
    <row r="24" spans="1:18" s="2348" customFormat="1" ht="15.75" thickBot="1">
      <c r="A24" s="2393"/>
      <c r="B24" s="2391" t="s">
        <v>2104</v>
      </c>
      <c r="C24" s="128">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30">
    <tabColor rgb="FFFF0000"/>
  </sheetPr>
  <dimension ref="A1:J23"/>
  <sheetViews>
    <sheetView workbookViewId="0">
      <selection activeCell="G15" sqref="G15"/>
    </sheetView>
  </sheetViews>
  <sheetFormatPr defaultColWidth="9" defaultRowHeight="13.5"/>
  <cols>
    <col min="1" max="1" width="23.375" style="1721" customWidth="1"/>
    <col min="2" max="9" width="15.75" style="1721" customWidth="1"/>
    <col min="10" max="16384" width="9" style="1721"/>
  </cols>
  <sheetData>
    <row r="1" spans="1:10" ht="16.5">
      <c r="A1" s="1726" t="s">
        <v>1360</v>
      </c>
      <c r="B1" s="1726">
        <f>SUM(B14:B23)</f>
        <v>595.14</v>
      </c>
      <c r="C1" s="1725"/>
      <c r="D1" s="1725"/>
      <c r="E1" s="1725"/>
      <c r="F1" s="1725"/>
      <c r="G1" s="1723"/>
    </row>
    <row r="2" spans="1:10" ht="16.5">
      <c r="A2" s="1726" t="s">
        <v>1348</v>
      </c>
      <c r="B2" s="1726">
        <f>SUM(C14:C23)</f>
        <v>0</v>
      </c>
      <c r="C2" s="1725"/>
      <c r="D2" s="1725"/>
      <c r="E2" s="1725"/>
      <c r="F2" s="1725"/>
      <c r="G2" s="1723"/>
    </row>
    <row r="3" spans="1:10" ht="16.5">
      <c r="A3" s="1726" t="s">
        <v>1357</v>
      </c>
      <c r="B3" s="1727">
        <f>项目基本情况!D3</f>
        <v>43886</v>
      </c>
      <c r="C3" s="1725"/>
      <c r="D3" s="1725"/>
      <c r="E3" s="1725"/>
      <c r="F3" s="1725"/>
      <c r="G3" s="1723"/>
    </row>
    <row r="4" spans="1:10" ht="33">
      <c r="A4" s="1726" t="s">
        <v>1356</v>
      </c>
      <c r="B4" s="1726" t="s">
        <v>1355</v>
      </c>
      <c r="C4" s="1726" t="s">
        <v>1354</v>
      </c>
      <c r="D4" s="1726" t="s">
        <v>1353</v>
      </c>
      <c r="E4" s="1725"/>
      <c r="F4" s="1723"/>
      <c r="G4" s="1723"/>
    </row>
    <row r="5" spans="1:10" ht="16.5">
      <c r="A5" s="1726" t="s">
        <v>1352</v>
      </c>
      <c r="B5" s="1726">
        <f ca="1">SUM(D14:D23)</f>
        <v>2072</v>
      </c>
      <c r="C5" s="1726">
        <f ca="1">ROUND(B5*10000/$B$1,0)</f>
        <v>34815</v>
      </c>
      <c r="D5" s="1726" t="e">
        <f ca="1">ROUND(B5*10000/$B$2,0)</f>
        <v>#DIV/0!</v>
      </c>
      <c r="E5" s="1725"/>
      <c r="F5" s="1723"/>
      <c r="G5" s="1723"/>
    </row>
    <row r="6" spans="1:10" ht="16.5">
      <c r="A6" s="1726" t="s">
        <v>1351</v>
      </c>
      <c r="B6" s="1726">
        <f ca="1">SUM(G14:G23)</f>
        <v>2072</v>
      </c>
      <c r="C6" s="1726">
        <f ca="1">ROUND(B6*10000/$B$1,0)</f>
        <v>34815</v>
      </c>
      <c r="D6" s="1726" t="e">
        <f ca="1">ROUND(B6*10000/$B$2,0)</f>
        <v>#DIV/0!</v>
      </c>
      <c r="E6" s="1725"/>
      <c r="F6" s="1723"/>
      <c r="G6" s="1723"/>
    </row>
    <row r="7" spans="1:10" ht="16.5">
      <c r="A7" s="1726" t="s">
        <v>1359</v>
      </c>
      <c r="B7" s="1726">
        <f>SUM(H14:H23)</f>
        <v>0</v>
      </c>
      <c r="C7" s="1726">
        <f>ROUND(B7*10000/$B$1,0)</f>
        <v>0</v>
      </c>
      <c r="D7" s="1726" t="e">
        <f>ROUND(B7*10000/$B$2,0)</f>
        <v>#DIV/0!</v>
      </c>
      <c r="E7" s="1725"/>
      <c r="F7" s="1723"/>
      <c r="G7" s="1723"/>
    </row>
    <row r="8" spans="1:10" ht="16.5">
      <c r="A8" s="1726" t="s">
        <v>1280</v>
      </c>
      <c r="B8" s="1726">
        <f>SUM(I14:I23)</f>
        <v>0</v>
      </c>
      <c r="C8" s="1726">
        <f>ROUND(B8*10000/$B$1,0)</f>
        <v>0</v>
      </c>
      <c r="D8" s="1726" t="e">
        <f>ROUND(B8*10000/$B$2,0)</f>
        <v>#DIV/0!</v>
      </c>
      <c r="E8" s="1725"/>
      <c r="F8" s="1723"/>
      <c r="G8" s="1723"/>
    </row>
    <row r="9" spans="1:10" ht="16.5">
      <c r="A9" s="1726" t="s">
        <v>1350</v>
      </c>
      <c r="B9" s="1728"/>
      <c r="C9" s="1725"/>
      <c r="D9" s="1725"/>
      <c r="E9" s="1725"/>
      <c r="F9" s="1723"/>
      <c r="G9" s="1723"/>
    </row>
    <row r="10" spans="1:10" ht="16.5">
      <c r="A10" s="1726" t="s">
        <v>1349</v>
      </c>
      <c r="B10" s="1728"/>
      <c r="C10" s="1725"/>
      <c r="D10" s="1725"/>
      <c r="E10" s="1725"/>
      <c r="F10" s="1723"/>
      <c r="G10" s="1723"/>
    </row>
    <row r="11" spans="1:10" ht="16.5">
      <c r="A11" s="1726" t="s">
        <v>1365</v>
      </c>
      <c r="B11" s="1728"/>
      <c r="C11" s="1725"/>
      <c r="D11" s="1725"/>
      <c r="E11" s="1725"/>
      <c r="F11" s="1723"/>
      <c r="G11" s="1723"/>
    </row>
    <row r="12" spans="1:10" ht="16.5">
      <c r="A12" s="1725"/>
      <c r="B12" s="1725"/>
      <c r="C12" s="1725"/>
      <c r="D12" s="1725"/>
      <c r="E12" s="1725"/>
      <c r="F12" s="1723"/>
      <c r="G12" s="1723"/>
    </row>
    <row r="13" spans="1:10" ht="33">
      <c r="A13" s="1731" t="s">
        <v>1364</v>
      </c>
      <c r="B13" s="1724" t="s">
        <v>1361</v>
      </c>
      <c r="C13" s="1724" t="s">
        <v>1363</v>
      </c>
      <c r="D13" s="1724" t="s">
        <v>1362</v>
      </c>
      <c r="E13" s="1726" t="s">
        <v>1354</v>
      </c>
      <c r="F13" s="1726" t="s">
        <v>1353</v>
      </c>
      <c r="G13" s="1724" t="s">
        <v>1347</v>
      </c>
      <c r="H13" s="1724" t="s">
        <v>1358</v>
      </c>
      <c r="I13" s="1724" t="s">
        <v>1346</v>
      </c>
      <c r="J13" s="1723"/>
    </row>
    <row r="14" spans="1:10" ht="16.5">
      <c r="A14" s="1722" t="s">
        <v>1345</v>
      </c>
      <c r="B14" s="1724">
        <f>'典型户型修正（房本1）'!B22</f>
        <v>595.14</v>
      </c>
      <c r="C14" s="1724">
        <f>结果表!C118</f>
        <v>0</v>
      </c>
      <c r="D14" s="1724">
        <f ca="1">'典型户型修正（房本1）'!S22</f>
        <v>2072</v>
      </c>
      <c r="E14" s="1724">
        <f ca="1">ROUND(D14*10000/B14,0)</f>
        <v>34815</v>
      </c>
      <c r="F14" s="1724" t="e">
        <f ca="1">ROUND(D14*10000/C14,0)</f>
        <v>#DIV/0!</v>
      </c>
      <c r="G14" s="1724">
        <f ca="1">D14</f>
        <v>2072</v>
      </c>
      <c r="H14" s="1724" t="str">
        <f>结果表!D124</f>
        <v>——</v>
      </c>
      <c r="I14" s="1724" t="str">
        <f>结果表!D126</f>
        <v>——</v>
      </c>
      <c r="J14" s="1723"/>
    </row>
    <row r="15" spans="1:10" ht="16.5">
      <c r="A15" s="1722" t="s">
        <v>1344</v>
      </c>
      <c r="B15" s="2982"/>
      <c r="C15" s="2982"/>
      <c r="D15" s="2982"/>
      <c r="E15" s="2982" t="e">
        <f t="shared" ref="E15:E23" si="0">ROUND(D15*10000/B15,0)</f>
        <v>#DIV/0!</v>
      </c>
      <c r="F15" s="2982" t="e">
        <f t="shared" ref="F15:F23" si="1">ROUND(D15*10000/C15,0)</f>
        <v>#DIV/0!</v>
      </c>
      <c r="G15" s="2982"/>
      <c r="H15" s="2982"/>
      <c r="I15" s="2982"/>
      <c r="J15" s="1723"/>
    </row>
    <row r="16" spans="1:10" ht="16.5">
      <c r="A16" s="1722" t="s">
        <v>1343</v>
      </c>
      <c r="B16" s="1729"/>
      <c r="C16" s="1729"/>
      <c r="D16" s="1729"/>
      <c r="E16" s="1724" t="e">
        <f t="shared" si="0"/>
        <v>#DIV/0!</v>
      </c>
      <c r="F16" s="1724" t="e">
        <f t="shared" si="1"/>
        <v>#DIV/0!</v>
      </c>
      <c r="G16" s="1730"/>
      <c r="H16" s="1730"/>
      <c r="I16" s="1729"/>
    </row>
    <row r="17" spans="1:9" ht="16.5">
      <c r="A17" s="1722" t="s">
        <v>1342</v>
      </c>
      <c r="B17" s="1729"/>
      <c r="C17" s="1729"/>
      <c r="D17" s="1729"/>
      <c r="E17" s="1724" t="e">
        <f t="shared" si="0"/>
        <v>#DIV/0!</v>
      </c>
      <c r="F17" s="1724" t="e">
        <f t="shared" si="1"/>
        <v>#DIV/0!</v>
      </c>
      <c r="G17" s="1730"/>
      <c r="H17" s="1730"/>
      <c r="I17" s="1729"/>
    </row>
    <row r="18" spans="1:9" ht="16.5">
      <c r="A18" s="1722" t="s">
        <v>1341</v>
      </c>
      <c r="B18" s="1729"/>
      <c r="C18" s="1729"/>
      <c r="D18" s="1729"/>
      <c r="E18" s="1724" t="e">
        <f t="shared" si="0"/>
        <v>#DIV/0!</v>
      </c>
      <c r="F18" s="1724" t="e">
        <f t="shared" si="1"/>
        <v>#DIV/0!</v>
      </c>
      <c r="G18" s="1729"/>
      <c r="H18" s="1729"/>
      <c r="I18" s="1729"/>
    </row>
    <row r="19" spans="1:9" ht="16.5">
      <c r="A19" s="1722" t="s">
        <v>1340</v>
      </c>
      <c r="B19" s="1729"/>
      <c r="C19" s="1729"/>
      <c r="D19" s="1729"/>
      <c r="E19" s="1724" t="e">
        <f t="shared" si="0"/>
        <v>#DIV/0!</v>
      </c>
      <c r="F19" s="1724" t="e">
        <f t="shared" si="1"/>
        <v>#DIV/0!</v>
      </c>
      <c r="G19" s="1729"/>
      <c r="H19" s="1729"/>
      <c r="I19" s="1729"/>
    </row>
    <row r="20" spans="1:9" ht="16.5">
      <c r="A20" s="1722" t="s">
        <v>1339</v>
      </c>
      <c r="B20" s="1729"/>
      <c r="C20" s="1729"/>
      <c r="D20" s="1729"/>
      <c r="E20" s="1724" t="e">
        <f t="shared" si="0"/>
        <v>#DIV/0!</v>
      </c>
      <c r="F20" s="1724" t="e">
        <f t="shared" si="1"/>
        <v>#DIV/0!</v>
      </c>
      <c r="G20" s="1729"/>
      <c r="H20" s="1729"/>
      <c r="I20" s="1729"/>
    </row>
    <row r="21" spans="1:9" ht="16.5">
      <c r="A21" s="1722" t="s">
        <v>1338</v>
      </c>
      <c r="B21" s="1729"/>
      <c r="C21" s="1729"/>
      <c r="D21" s="1729"/>
      <c r="E21" s="1724" t="e">
        <f t="shared" si="0"/>
        <v>#DIV/0!</v>
      </c>
      <c r="F21" s="1724" t="e">
        <f t="shared" si="1"/>
        <v>#DIV/0!</v>
      </c>
      <c r="G21" s="1729"/>
      <c r="H21" s="1729"/>
      <c r="I21" s="1729"/>
    </row>
    <row r="22" spans="1:9" ht="16.5">
      <c r="A22" s="1722" t="s">
        <v>1337</v>
      </c>
      <c r="B22" s="1729"/>
      <c r="C22" s="1729"/>
      <c r="D22" s="1729"/>
      <c r="E22" s="1724" t="e">
        <f t="shared" si="0"/>
        <v>#DIV/0!</v>
      </c>
      <c r="F22" s="1724" t="e">
        <f t="shared" si="1"/>
        <v>#DIV/0!</v>
      </c>
      <c r="G22" s="1729"/>
      <c r="H22" s="1729"/>
      <c r="I22" s="1729"/>
    </row>
    <row r="23" spans="1:9" ht="16.5">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48">
    <tabColor rgb="FFFF0000"/>
  </sheetPr>
  <dimension ref="A1:AI512"/>
  <sheetViews>
    <sheetView tabSelected="1" view="pageBreakPreview" topLeftCell="B31" zoomScaleSheetLayoutView="100" zoomScalePageLayoutView="80" workbookViewId="0">
      <selection activeCell="I52" sqref="I52"/>
    </sheetView>
  </sheetViews>
  <sheetFormatPr defaultColWidth="12.625" defaultRowHeight="21.75" customHeight="1"/>
  <cols>
    <col min="1" max="2" width="12.625" style="2405"/>
    <col min="3" max="4" width="12.625" style="2405" customWidth="1"/>
    <col min="5" max="9" width="12.625" style="2405"/>
    <col min="10" max="11" width="12.625" style="778" customWidth="1"/>
    <col min="12" max="12" width="12.625" style="778"/>
    <col min="13" max="13" width="14.125" style="778" bestFit="1" customWidth="1"/>
    <col min="14" max="26" width="12.625" style="778"/>
    <col min="27" max="35" width="12.625" style="2404"/>
    <col min="36" max="16384" width="12.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04" t="str">
        <f>项目基本情况!S2</f>
        <v>北京市房地产</v>
      </c>
      <c r="B2" s="3105"/>
      <c r="C2" s="3105"/>
      <c r="D2" s="3105"/>
      <c r="E2" s="3105"/>
      <c r="F2" s="3105"/>
      <c r="G2" s="3105"/>
      <c r="H2" s="3105"/>
      <c r="I2" s="3106"/>
    </row>
    <row r="3" spans="1:12" ht="12.75">
      <c r="A3" s="3107" t="s">
        <v>2107</v>
      </c>
      <c r="B3" s="3108"/>
      <c r="C3" s="3108"/>
      <c r="D3" s="3108"/>
      <c r="E3" s="3108"/>
      <c r="F3" s="3108"/>
      <c r="G3" s="3108"/>
      <c r="H3" s="3108"/>
      <c r="I3" s="3108"/>
    </row>
    <row r="4" spans="1:12" ht="14.25">
      <c r="A4" s="2406" t="s">
        <v>2108</v>
      </c>
      <c r="B4" s="2407" t="s">
        <v>2109</v>
      </c>
      <c r="C4" s="2408" t="s">
        <v>3129</v>
      </c>
      <c r="D4" s="2408" t="s">
        <v>3129</v>
      </c>
      <c r="E4" s="3109" t="s">
        <v>2110</v>
      </c>
      <c r="F4" s="3110"/>
      <c r="G4" s="3110"/>
      <c r="H4" s="3110"/>
      <c r="I4" s="3111"/>
      <c r="K4" s="2409" t="str">
        <f>IF(ISNUMBER(FIND("比较法",'结果表 (2)'!C4)),"比较法",IF(ISNUMBER(FIND("成本法",'结果表 (2)'!C4)),"成本法",IF(ISNUMBER(FIND("假设开发法",'结果表 (2)'!C4)),"假设开发法",IF(ISNUMBER(FIND("收益法",'结果表 (2)'!C4)),"收益法","基准地价系数修正法"))))</f>
        <v>基准地价系数修正法</v>
      </c>
      <c r="L4" s="2409"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100" t="s">
        <v>2111</v>
      </c>
      <c r="B5" s="3073">
        <v>25</v>
      </c>
      <c r="C5" s="3101"/>
      <c r="D5" s="3103"/>
      <c r="E5" s="131" t="s">
        <v>2112</v>
      </c>
      <c r="F5" s="2410"/>
      <c r="G5" s="2410"/>
      <c r="H5" s="2410"/>
      <c r="I5" s="1814"/>
    </row>
    <row r="6" spans="1:12" ht="12.75">
      <c r="A6" s="3100"/>
      <c r="B6" s="3073"/>
      <c r="C6" s="3112"/>
      <c r="D6" s="3103"/>
      <c r="E6" s="131" t="s">
        <v>2113</v>
      </c>
      <c r="F6" s="2410"/>
      <c r="G6" s="2410"/>
      <c r="H6" s="2410"/>
      <c r="I6" s="1814"/>
    </row>
    <row r="7" spans="1:12" ht="12.75">
      <c r="A7" s="3100"/>
      <c r="B7" s="3073"/>
      <c r="C7" s="3102"/>
      <c r="D7" s="3103"/>
      <c r="E7" s="131" t="s">
        <v>2114</v>
      </c>
      <c r="F7" s="2410"/>
      <c r="G7" s="2410"/>
      <c r="H7" s="2410"/>
      <c r="I7" s="1814"/>
    </row>
    <row r="8" spans="1:12" ht="12.75">
      <c r="A8" s="3100" t="s">
        <v>2115</v>
      </c>
      <c r="B8" s="3073">
        <v>15</v>
      </c>
      <c r="C8" s="3101"/>
      <c r="D8" s="3103"/>
      <c r="E8" s="131" t="s">
        <v>2116</v>
      </c>
      <c r="F8" s="2410"/>
      <c r="G8" s="2410"/>
      <c r="H8" s="2410"/>
      <c r="I8" s="1814"/>
    </row>
    <row r="9" spans="1:12" ht="12.75">
      <c r="A9" s="3100"/>
      <c r="B9" s="3073"/>
      <c r="C9" s="3102"/>
      <c r="D9" s="3103"/>
      <c r="E9" s="131" t="s">
        <v>2117</v>
      </c>
      <c r="F9" s="2410"/>
      <c r="G9" s="2410"/>
      <c r="H9" s="2410"/>
      <c r="I9" s="1814"/>
    </row>
    <row r="10" spans="1:12" ht="12.75">
      <c r="A10" s="3100" t="s">
        <v>2118</v>
      </c>
      <c r="B10" s="3073">
        <v>15</v>
      </c>
      <c r="C10" s="3101"/>
      <c r="D10" s="3103"/>
      <c r="E10" s="131" t="s">
        <v>2119</v>
      </c>
      <c r="F10" s="2410"/>
      <c r="G10" s="2410"/>
      <c r="H10" s="2410"/>
      <c r="I10" s="1814"/>
    </row>
    <row r="11" spans="1:12" ht="12.75">
      <c r="A11" s="3100"/>
      <c r="B11" s="3073"/>
      <c r="C11" s="3102"/>
      <c r="D11" s="3103"/>
      <c r="E11" s="131" t="s">
        <v>2120</v>
      </c>
      <c r="F11" s="2410"/>
      <c r="G11" s="2410"/>
      <c r="H11" s="2410"/>
      <c r="I11" s="1814"/>
    </row>
    <row r="12" spans="1:12" ht="12.75">
      <c r="A12" s="3100" t="s">
        <v>2121</v>
      </c>
      <c r="B12" s="3073">
        <v>15</v>
      </c>
      <c r="C12" s="3101"/>
      <c r="D12" s="3103"/>
      <c r="E12" s="131" t="s">
        <v>2122</v>
      </c>
      <c r="F12" s="2410"/>
      <c r="G12" s="2410"/>
      <c r="H12" s="2410"/>
      <c r="I12" s="1814"/>
    </row>
    <row r="13" spans="1:12" ht="12.75">
      <c r="A13" s="3100"/>
      <c r="B13" s="3073"/>
      <c r="C13" s="3102"/>
      <c r="D13" s="3103"/>
      <c r="E13" s="131" t="s">
        <v>2123</v>
      </c>
      <c r="F13" s="2410"/>
      <c r="G13" s="2410"/>
      <c r="H13" s="2410"/>
      <c r="I13" s="1814"/>
    </row>
    <row r="14" spans="1:12" ht="12.75">
      <c r="A14" s="3100" t="s">
        <v>2124</v>
      </c>
      <c r="B14" s="3073">
        <v>30</v>
      </c>
      <c r="C14" s="3101">
        <v>5</v>
      </c>
      <c r="D14" s="3103">
        <v>5</v>
      </c>
      <c r="E14" s="131" t="s">
        <v>2125</v>
      </c>
      <c r="F14" s="2410"/>
      <c r="G14" s="2410"/>
      <c r="H14" s="2410"/>
      <c r="I14" s="1814"/>
    </row>
    <row r="15" spans="1:12" ht="12.75">
      <c r="A15" s="3100"/>
      <c r="B15" s="3073"/>
      <c r="C15" s="3112"/>
      <c r="D15" s="3103"/>
      <c r="E15" s="131" t="s">
        <v>2126</v>
      </c>
      <c r="F15" s="2410"/>
      <c r="G15" s="2410"/>
      <c r="H15" s="2410"/>
      <c r="I15" s="1814"/>
    </row>
    <row r="16" spans="1:12" ht="12.75">
      <c r="A16" s="3100"/>
      <c r="B16" s="3073"/>
      <c r="C16" s="3102"/>
      <c r="D16" s="3103"/>
      <c r="E16" s="131" t="s">
        <v>2127</v>
      </c>
      <c r="F16" s="2410"/>
      <c r="G16" s="2410"/>
      <c r="H16" s="2410"/>
      <c r="I16" s="1814"/>
    </row>
    <row r="17" spans="1:35" ht="15">
      <c r="A17" s="2411" t="s">
        <v>2128</v>
      </c>
      <c r="B17" s="63"/>
      <c r="C17" s="132">
        <f>SUM(C5:C16)</f>
        <v>5</v>
      </c>
      <c r="D17" s="132">
        <f>SUM(D5:D16)</f>
        <v>5</v>
      </c>
      <c r="E17" s="129"/>
      <c r="F17" s="129"/>
      <c r="G17" s="129"/>
      <c r="H17" s="129"/>
      <c r="I17" s="129"/>
      <c r="K17" s="2409"/>
      <c r="L17" s="2412" t="s">
        <v>2129</v>
      </c>
      <c r="M17" s="2412" t="s">
        <v>2130</v>
      </c>
    </row>
    <row r="18" spans="1:35" ht="15.7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5">
      <c r="A19" s="2415" t="s">
        <v>2133</v>
      </c>
      <c r="B19" s="2416" t="s">
        <v>2134</v>
      </c>
      <c r="C19" s="134">
        <f ca="1">SUMIF(INDIRECT("'"&amp;C4&amp;"'"&amp;"!A:A"),'结果表 (2)'!B19,INDIRECT("'"&amp;C4&amp;"'"&amp;"!B:B"))</f>
        <v>2293</v>
      </c>
      <c r="D19" s="135">
        <f ca="1">SUMIF(INDIRECT("'"&amp;D4&amp;"'"&amp;"!A:A"),'结果表 (2)'!B19,INDIRECT("'"&amp;D4&amp;"'"&amp;"!B:B"))</f>
        <v>2293</v>
      </c>
      <c r="E19" s="2415" t="s">
        <v>2135</v>
      </c>
      <c r="F19" s="2416" t="s">
        <v>2134</v>
      </c>
      <c r="G19" s="136">
        <f ca="1">ROUND(C19*$C$18+D19*$D$18,0)</f>
        <v>2293</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5">
      <c r="A20" s="2418"/>
      <c r="B20" s="1230" t="s">
        <v>2138</v>
      </c>
      <c r="C20" s="137">
        <f ca="1">SUMIF(INDIRECT("'"&amp;C4&amp;"'"&amp;"!A:A"),'结果表 (2)'!B20,INDIRECT("'"&amp;C4&amp;"'"&amp;"!B:B"))</f>
        <v>34147</v>
      </c>
      <c r="D20" s="138">
        <f ca="1">SUMIF(INDIRECT("'"&amp;D4&amp;"'"&amp;"!A:A"),'结果表 (2)'!B20,INDIRECT("'"&amp;D4&amp;"'"&amp;"!B:B"))</f>
        <v>34147</v>
      </c>
      <c r="E20" s="2418"/>
      <c r="F20" s="1230" t="s">
        <v>2138</v>
      </c>
      <c r="G20" s="139">
        <f ca="1">ROUND(C20*$C$18+D20*$D$18,0)</f>
        <v>34147</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0</v>
      </c>
      <c r="E22" s="129"/>
      <c r="F22" s="129"/>
      <c r="G22" s="129"/>
      <c r="H22" s="129"/>
      <c r="I22" s="129"/>
    </row>
    <row r="23" spans="1:35" ht="13.5" thickBot="1">
      <c r="A23" s="2399"/>
      <c r="B23" s="2399"/>
      <c r="C23" s="2399"/>
      <c r="D23" s="2399"/>
      <c r="E23" s="129"/>
      <c r="F23" s="129"/>
      <c r="G23" s="129"/>
      <c r="H23" s="129"/>
      <c r="I23" s="129"/>
    </row>
    <row r="24" spans="1:35" ht="14.25">
      <c r="A24" s="3113" t="s">
        <v>2142</v>
      </c>
      <c r="B24" s="2416" t="s">
        <v>2134</v>
      </c>
      <c r="C24" s="136">
        <f>IF(B30=0,0,D30)</f>
        <v>0</v>
      </c>
      <c r="D24" s="2423"/>
      <c r="E24" s="129"/>
      <c r="F24" s="129"/>
      <c r="G24" s="129"/>
      <c r="H24" s="129"/>
      <c r="I24" s="129"/>
    </row>
    <row r="25" spans="1:35" ht="14.25">
      <c r="A25" s="3114"/>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4.25">
      <c r="A27" s="2425"/>
      <c r="B27" s="142">
        <v>0</v>
      </c>
      <c r="C27" s="142">
        <v>0</v>
      </c>
      <c r="D27" s="143">
        <f>ROUND(C27*B27/10000,0)</f>
        <v>0</v>
      </c>
      <c r="E27" s="129"/>
      <c r="F27" s="129"/>
      <c r="G27" s="129"/>
      <c r="H27" s="129"/>
      <c r="I27" s="129"/>
    </row>
    <row r="28" spans="1:35" ht="14.25">
      <c r="A28" s="2425"/>
      <c r="B28" s="142"/>
      <c r="C28" s="142"/>
      <c r="D28" s="143"/>
      <c r="E28" s="129"/>
      <c r="F28" s="129"/>
      <c r="G28" s="129"/>
      <c r="H28" s="129"/>
      <c r="I28" s="129"/>
    </row>
    <row r="29" spans="1:35" ht="14.25">
      <c r="A29" s="2425"/>
      <c r="B29" s="142"/>
      <c r="C29" s="142"/>
      <c r="D29" s="143"/>
      <c r="E29" s="129"/>
      <c r="F29" s="129"/>
      <c r="G29" s="129"/>
      <c r="H29" s="129"/>
      <c r="I29" s="129"/>
    </row>
    <row r="30" spans="1:35" ht="14.25">
      <c r="A30" s="142" t="s">
        <v>2147</v>
      </c>
      <c r="B30" s="142"/>
      <c r="C30" s="142"/>
      <c r="D30" s="142"/>
      <c r="E30" s="2898" t="s">
        <v>3020</v>
      </c>
      <c r="F30" s="129"/>
      <c r="G30" s="129"/>
      <c r="H30" s="129"/>
      <c r="I30" s="129"/>
    </row>
    <row r="31" spans="1:35" s="2427" customFormat="1" ht="15"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75" thickBot="1">
      <c r="A32" s="2428" t="s">
        <v>2148</v>
      </c>
      <c r="B32" s="2429"/>
      <c r="C32" s="144">
        <f ca="1">IF(D32="总价",G19-C24,G20-C25)</f>
        <v>2293</v>
      </c>
      <c r="D32" s="2430" t="s">
        <v>2149</v>
      </c>
      <c r="E32" s="129"/>
      <c r="F32" s="129"/>
      <c r="G32" s="129"/>
      <c r="H32" s="129"/>
      <c r="I32" s="129"/>
    </row>
    <row r="33" spans="1:15" ht="15">
      <c r="A33" s="940" t="s">
        <v>2150</v>
      </c>
      <c r="B33" s="2431"/>
      <c r="C33" s="2432" t="s">
        <v>3113</v>
      </c>
      <c r="D33" s="2433" t="s">
        <v>3054</v>
      </c>
      <c r="E33" s="2434" t="s">
        <v>2151</v>
      </c>
      <c r="F33" s="2985" t="str">
        <f>IF(D32="楼面单价","取值（单价）","取值（总价）")</f>
        <v>取值（总价）</v>
      </c>
      <c r="G33" s="129"/>
      <c r="H33" s="129"/>
      <c r="I33" s="129"/>
    </row>
    <row r="34" spans="1:15" ht="15">
      <c r="A34" s="2436"/>
      <c r="B34" s="2437" t="s">
        <v>2152</v>
      </c>
      <c r="C34" s="148">
        <f ca="1">IF(C33="自定义",F34,C32-C35)</f>
        <v>1862</v>
      </c>
      <c r="D34" s="1038">
        <f ca="1">IF(C33="自定义",ROUND(C34/C32,3),IF(C33="收益比率",SUMIF(INDIRECT("'"&amp;D33&amp;"'"&amp;"!b:b"),"土地收益比率",INDIRECT("'"&amp;D33&amp;"'"&amp;"!c:c")),SUMIF(INDIRECT("'"&amp;D33&amp;"'"&amp;"!b:b"),"土地成本比率",INDIRECT("'"&amp;D33&amp;"'"&amp;"!c:c"))))</f>
        <v>0.81200000000000006</v>
      </c>
      <c r="E34" s="2438" t="s">
        <v>2153</v>
      </c>
      <c r="F34" s="1719"/>
      <c r="G34" s="129"/>
      <c r="H34" s="129"/>
      <c r="I34" s="129"/>
    </row>
    <row r="35" spans="1:15" ht="15.75" thickBot="1">
      <c r="A35" s="2439"/>
      <c r="B35" s="2440" t="s">
        <v>2154</v>
      </c>
      <c r="C35" s="1424">
        <f ca="1">IF(C33="自定义",F35,ROUND(C32*D35,0))</f>
        <v>431</v>
      </c>
      <c r="D35" s="1425">
        <f ca="1">IF(C33="自定义",ROUND(C35/C32,3),IF(C33="收益比率",SUMIF(INDIRECT("'"&amp;D33&amp;"'"&amp;"!b:b"),"建筑物收益比率",INDIRECT("'"&amp;D33&amp;"'"&amp;"!c:c")),SUMIF(INDIRECT("'"&amp;D33&amp;"'"&amp;"!b:b"),"建筑物成本比率",INDIRECT("'"&amp;D33&amp;"'"&amp;"!c:c"))))</f>
        <v>0.188</v>
      </c>
      <c r="E35" s="2441" t="s">
        <v>2155</v>
      </c>
      <c r="F35" s="154"/>
      <c r="G35" s="129"/>
      <c r="H35" s="129"/>
      <c r="I35" s="129"/>
    </row>
    <row r="36" spans="1:15" ht="15.75" thickBot="1">
      <c r="A36" s="3115" t="s">
        <v>2156</v>
      </c>
      <c r="B36" s="2442" t="s">
        <v>2157</v>
      </c>
      <c r="C36" s="145">
        <v>1900</v>
      </c>
      <c r="D36" s="2443" t="s">
        <v>3114</v>
      </c>
      <c r="E36" s="2444"/>
      <c r="F36" s="2445"/>
      <c r="G36" s="129"/>
      <c r="H36" s="129"/>
      <c r="I36" s="129"/>
    </row>
    <row r="37" spans="1:15" ht="15.75" thickBot="1">
      <c r="A37" s="3116"/>
      <c r="B37" s="2248" t="s">
        <v>2158</v>
      </c>
      <c r="C37" s="147"/>
      <c r="D37" s="1375"/>
      <c r="E37" s="1375"/>
      <c r="F37" s="2445"/>
      <c r="G37" s="129"/>
      <c r="H37" s="129"/>
      <c r="I37" s="129"/>
    </row>
    <row r="38" spans="1:15" ht="15.75" thickBot="1">
      <c r="A38" s="3117"/>
      <c r="B38" s="2446" t="s">
        <v>2159</v>
      </c>
      <c r="C38" s="710"/>
      <c r="D38" s="2447" t="s">
        <v>2160</v>
      </c>
      <c r="E38" s="1375"/>
      <c r="F38" s="2445"/>
      <c r="G38" s="129"/>
      <c r="H38" s="129"/>
      <c r="I38" s="129"/>
    </row>
    <row r="39" spans="1:15" ht="15">
      <c r="A39" s="2418" t="s">
        <v>2161</v>
      </c>
      <c r="B39" s="2448" t="s">
        <v>2144</v>
      </c>
      <c r="C39" s="2449" t="s">
        <v>2145</v>
      </c>
      <c r="D39" s="2449" t="s">
        <v>2164</v>
      </c>
      <c r="E39" s="2450" t="s">
        <v>2146</v>
      </c>
      <c r="F39" s="2445"/>
      <c r="G39" s="129"/>
      <c r="H39" s="129"/>
      <c r="I39" s="129"/>
    </row>
    <row r="40" spans="1:15" ht="14.25">
      <c r="A40" s="2451" t="s">
        <v>2166</v>
      </c>
      <c r="B40" s="149"/>
      <c r="C40" s="150"/>
      <c r="D40" s="150"/>
      <c r="E40" s="151"/>
      <c r="F40" s="2445"/>
      <c r="G40" s="129"/>
      <c r="H40" s="129"/>
      <c r="I40" s="129"/>
    </row>
    <row r="41" spans="1:15" ht="14.25">
      <c r="A41" s="2451" t="s">
        <v>2167</v>
      </c>
      <c r="B41" s="149"/>
      <c r="C41" s="150"/>
      <c r="D41" s="150"/>
      <c r="E41" s="151"/>
      <c r="F41" s="2445"/>
      <c r="G41" s="129"/>
      <c r="H41" s="129"/>
      <c r="I41" s="129"/>
    </row>
    <row r="42" spans="1:15" ht="15" thickBot="1">
      <c r="A42" s="2452"/>
      <c r="B42" s="152"/>
      <c r="C42" s="153"/>
      <c r="D42" s="153"/>
      <c r="E42" s="154"/>
      <c r="F42" s="2445"/>
      <c r="G42" s="129"/>
      <c r="H42" s="129"/>
      <c r="I42" s="129"/>
    </row>
    <row r="43" spans="1:15" ht="12.75">
      <c r="A43" s="2147"/>
      <c r="B43" s="2147"/>
      <c r="C43" s="2147"/>
      <c r="D43" s="2147"/>
      <c r="E43" s="2147"/>
      <c r="F43" s="2453"/>
      <c r="G43" s="2453"/>
      <c r="H43" s="2453"/>
      <c r="I43" s="2454"/>
    </row>
    <row r="44" spans="1:15" ht="18.75">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18" t="s">
        <v>2170</v>
      </c>
      <c r="B45" s="3119"/>
      <c r="C45" s="3120"/>
      <c r="D45" s="155">
        <f ca="1">ROUND(H101*F45,0)</f>
        <v>1468</v>
      </c>
      <c r="E45" s="156" t="s">
        <v>2171</v>
      </c>
      <c r="F45" s="157">
        <v>0.64</v>
      </c>
      <c r="G45" s="158" t="s">
        <v>2172</v>
      </c>
      <c r="H45" s="129"/>
      <c r="I45" s="129"/>
      <c r="J45" s="3121" t="s">
        <v>2173</v>
      </c>
      <c r="K45" s="3121"/>
      <c r="L45" s="3121"/>
      <c r="M45" s="3121"/>
      <c r="N45" s="3121"/>
      <c r="O45" s="3121"/>
    </row>
    <row r="46" spans="1:15" ht="14.25" customHeight="1">
      <c r="A46" s="3122" t="s">
        <v>2174</v>
      </c>
      <c r="B46" s="3123"/>
      <c r="C46" s="3123"/>
      <c r="D46" s="3123"/>
      <c r="E46" s="3123"/>
      <c r="F46" s="3123"/>
      <c r="G46" s="3124"/>
      <c r="H46" s="2461"/>
      <c r="I46" s="159"/>
      <c r="J46" s="2995">
        <v>1</v>
      </c>
      <c r="K46" s="3121" t="s">
        <v>2175</v>
      </c>
      <c r="L46" s="3121"/>
      <c r="M46" s="3125"/>
      <c r="N46" s="3125"/>
      <c r="O46" s="3125"/>
    </row>
    <row r="47" spans="1:15" ht="12" customHeight="1">
      <c r="A47" s="160" t="s">
        <v>2176</v>
      </c>
      <c r="B47" s="161"/>
      <c r="C47" s="162"/>
      <c r="D47" s="163" t="s">
        <v>2177</v>
      </c>
      <c r="E47" s="24" t="s">
        <v>2178</v>
      </c>
      <c r="F47" s="164" t="s">
        <v>2179</v>
      </c>
      <c r="G47" s="165" t="s">
        <v>2180</v>
      </c>
      <c r="H47" s="2461"/>
      <c r="I47" s="159"/>
      <c r="J47" s="2995">
        <v>2</v>
      </c>
      <c r="K47" s="3121" t="s">
        <v>2181</v>
      </c>
      <c r="L47" s="3121"/>
      <c r="M47" s="3126">
        <f>'数据-取费表'!B2</f>
        <v>43886</v>
      </c>
      <c r="N47" s="3126"/>
      <c r="O47" s="3126"/>
    </row>
    <row r="48" spans="1:15" ht="25.5">
      <c r="A48" s="3127" t="s">
        <v>2182</v>
      </c>
      <c r="B48" s="3128"/>
      <c r="C48" s="3128"/>
      <c r="D48" s="131">
        <f ca="1">IF(H48="情况1",0,IF(H48="情况2",D52,IF(H48="情况3",D53,IF(H48="情况4",D54))))</f>
        <v>78</v>
      </c>
      <c r="E48" s="2989" t="str">
        <f>IF(H48="情况4","(销售额-原购置价)×税（费）率","销售额×税（费）率")</f>
        <v>(销售额-原购置价)×税（费）率</v>
      </c>
      <c r="F48" s="166">
        <f>IF(H48="情况1","免征",'数据-取费表'!B41)</f>
        <v>5.6000000000000001E-2</v>
      </c>
      <c r="G48" s="2462" t="s">
        <v>2183</v>
      </c>
      <c r="H48" s="2463" t="s">
        <v>3115</v>
      </c>
      <c r="I48" s="2461"/>
      <c r="J48" s="2995">
        <v>3</v>
      </c>
      <c r="K48" s="3121" t="s">
        <v>2185</v>
      </c>
      <c r="L48" s="3121"/>
      <c r="M48" s="3129">
        <f ca="1">H101</f>
        <v>2293</v>
      </c>
      <c r="N48" s="3129"/>
      <c r="O48" s="3129"/>
    </row>
    <row r="49" spans="1:35" ht="25.5" customHeight="1">
      <c r="A49" s="167" t="s">
        <v>2186</v>
      </c>
      <c r="B49" s="3130" t="s">
        <v>2187</v>
      </c>
      <c r="C49" s="3130"/>
      <c r="D49" s="168">
        <v>0</v>
      </c>
      <c r="E49" s="23" t="s">
        <v>2188</v>
      </c>
      <c r="F49" s="28" t="s">
        <v>34</v>
      </c>
      <c r="G49" s="3131"/>
      <c r="H49" s="129"/>
      <c r="I49" s="2464"/>
      <c r="J49" s="2995">
        <v>4</v>
      </c>
      <c r="K49" s="3121" t="str">
        <f>IF(项目基本情况!E8="房地产抵押价值","房地产抵押价值","抵押担保权已注销时的房地产抵押价值")</f>
        <v>房地产抵押价值</v>
      </c>
      <c r="L49" s="3121"/>
      <c r="M49" s="3129">
        <f ca="1">IF(项目基本情况!E8="房地产抵押价值",H107,H109)</f>
        <v>2293</v>
      </c>
      <c r="N49" s="3129"/>
      <c r="O49" s="3129"/>
    </row>
    <row r="50" spans="1:35" ht="25.5" customHeight="1">
      <c r="A50" s="169"/>
      <c r="B50" s="3130" t="s">
        <v>2189</v>
      </c>
      <c r="C50" s="3130"/>
      <c r="D50" s="170"/>
      <c r="E50" s="31"/>
      <c r="F50" s="171"/>
      <c r="G50" s="3132"/>
      <c r="H50" s="129"/>
      <c r="I50" s="2464"/>
      <c r="J50" s="3121" t="s">
        <v>2190</v>
      </c>
      <c r="K50" s="3121"/>
      <c r="L50" s="3121"/>
      <c r="M50" s="3121"/>
      <c r="N50" s="3121"/>
      <c r="O50" s="3121"/>
    </row>
    <row r="51" spans="1:35" ht="12" customHeight="1">
      <c r="A51" s="172"/>
      <c r="B51" s="3130" t="s">
        <v>2191</v>
      </c>
      <c r="C51" s="3130"/>
      <c r="D51" s="173"/>
      <c r="E51" s="30"/>
      <c r="F51" s="171"/>
      <c r="G51" s="3133"/>
      <c r="H51" s="129"/>
      <c r="I51" s="2464"/>
      <c r="J51" s="2994" t="s">
        <v>2192</v>
      </c>
      <c r="K51" s="3121" t="s">
        <v>2193</v>
      </c>
      <c r="L51" s="3121"/>
      <c r="M51" s="2994" t="s">
        <v>2194</v>
      </c>
      <c r="N51" s="2994" t="s">
        <v>2195</v>
      </c>
      <c r="O51" s="2994" t="s">
        <v>2196</v>
      </c>
    </row>
    <row r="52" spans="1:35" ht="24" customHeight="1">
      <c r="A52" s="174" t="s">
        <v>2197</v>
      </c>
      <c r="B52" s="3130" t="s">
        <v>2198</v>
      </c>
      <c r="C52" s="3130"/>
      <c r="D52" s="173">
        <f ca="1">ROUND(D45*'数据-取费表'!B41/(1+'数据-取费表'!C42),0)</f>
        <v>78</v>
      </c>
      <c r="E52" s="11" t="s">
        <v>2199</v>
      </c>
      <c r="F52" s="175">
        <f>'数据-取费表'!B41</f>
        <v>5.6000000000000001E-2</v>
      </c>
      <c r="G52" s="2466"/>
      <c r="H52" s="129"/>
      <c r="I52" s="2464"/>
      <c r="J52" s="2995">
        <v>1</v>
      </c>
      <c r="K52" s="3136" t="s">
        <v>2200</v>
      </c>
      <c r="L52" s="3136"/>
      <c r="M52" s="1734">
        <f ca="1">D48</f>
        <v>78</v>
      </c>
      <c r="N52" s="2995" t="str">
        <f>E48</f>
        <v>(销售额-原购置价)×税（费）率</v>
      </c>
      <c r="O52" s="1735">
        <f>F48</f>
        <v>5.6000000000000001E-2</v>
      </c>
    </row>
    <row r="53" spans="1:35" ht="12" customHeight="1">
      <c r="A53" s="174" t="s">
        <v>2201</v>
      </c>
      <c r="B53" s="3134" t="s">
        <v>2202</v>
      </c>
      <c r="C53" s="3135"/>
      <c r="D53" s="173">
        <f ca="1">ROUND(D45*'数据-取费表'!B41/(1+'数据-取费表'!C42),0)</f>
        <v>78</v>
      </c>
      <c r="E53" s="11" t="s">
        <v>2199</v>
      </c>
      <c r="F53" s="175">
        <f>'数据-取费表'!B41</f>
        <v>5.6000000000000001E-2</v>
      </c>
      <c r="G53" s="2466"/>
      <c r="H53" s="129"/>
      <c r="I53" s="2464"/>
      <c r="J53" s="2995">
        <v>2</v>
      </c>
      <c r="K53" s="3136" t="s">
        <v>2203</v>
      </c>
      <c r="L53" s="3136"/>
      <c r="M53" s="1734">
        <f t="shared" ref="M53:O54" ca="1" si="0">D55</f>
        <v>1</v>
      </c>
      <c r="N53" s="2995" t="str">
        <f t="shared" si="0"/>
        <v>销售额×税（费）率</v>
      </c>
      <c r="O53" s="1735">
        <f t="shared" si="0"/>
        <v>5.0000000000000001E-4</v>
      </c>
    </row>
    <row r="54" spans="1:35" ht="12" customHeight="1">
      <c r="A54" s="174" t="s">
        <v>2204</v>
      </c>
      <c r="B54" s="3134" t="s">
        <v>2205</v>
      </c>
      <c r="C54" s="3135"/>
      <c r="D54" s="173">
        <f ca="1">C68</f>
        <v>78</v>
      </c>
      <c r="E54" s="30" t="s">
        <v>2206</v>
      </c>
      <c r="F54" s="175">
        <f>'数据-取费表'!B41</f>
        <v>5.6000000000000001E-2</v>
      </c>
      <c r="G54" s="2466"/>
      <c r="H54" s="2467"/>
      <c r="I54" s="2464"/>
      <c r="J54" s="2995">
        <v>3</v>
      </c>
      <c r="K54" s="3136" t="s">
        <v>2207</v>
      </c>
      <c r="L54" s="3136"/>
      <c r="M54" s="1734">
        <f t="shared" ca="1" si="0"/>
        <v>303</v>
      </c>
      <c r="N54" s="2995" t="str">
        <f t="shared" si="0"/>
        <v>增值额×税（费）率</v>
      </c>
      <c r="O54" s="1736" t="str">
        <f t="shared" si="0"/>
        <v>——</v>
      </c>
    </row>
    <row r="55" spans="1:35" ht="24" customHeight="1">
      <c r="A55" s="3137" t="s">
        <v>2208</v>
      </c>
      <c r="B55" s="3128"/>
      <c r="C55" s="3128"/>
      <c r="D55" s="176">
        <f ca="1">IF(H55="个人住宅",0,ROUND(D45*I55,0))</f>
        <v>1</v>
      </c>
      <c r="E55" s="11" t="s">
        <v>2209</v>
      </c>
      <c r="F55" s="175">
        <f>IF(H55="正常",I55,"免征")</f>
        <v>5.0000000000000001E-4</v>
      </c>
      <c r="G55" s="2466"/>
      <c r="H55" s="2463" t="s">
        <v>2210</v>
      </c>
      <c r="I55" s="177">
        <f>'数据-取费表'!B49</f>
        <v>5.0000000000000001E-4</v>
      </c>
      <c r="J55" s="2995">
        <f>IF(H59="非个人房产","",4)</f>
        <v>4</v>
      </c>
      <c r="K55" s="3136" t="str">
        <f>IF(H59="非个人房产","——","个人所得税")</f>
        <v>个人所得税</v>
      </c>
      <c r="L55" s="3136"/>
      <c r="M55" s="1737">
        <f ca="1">D59</f>
        <v>15</v>
      </c>
      <c r="N55" s="2996" t="str">
        <f>E59</f>
        <v>销售额×税（费）率</v>
      </c>
      <c r="O55" s="1738">
        <f>F59</f>
        <v>0.01</v>
      </c>
    </row>
    <row r="56" spans="1:35" ht="24.75">
      <c r="A56" s="3137" t="s">
        <v>2211</v>
      </c>
      <c r="B56" s="3128"/>
      <c r="C56" s="3128"/>
      <c r="D56" s="176">
        <f ca="1">IF(H56="个人住宅",D57,D58)</f>
        <v>303</v>
      </c>
      <c r="E56" s="11" t="s">
        <v>2212</v>
      </c>
      <c r="F56" s="175" t="str">
        <f>IF(H56="正常",F58,"免征")</f>
        <v>——</v>
      </c>
      <c r="G56" s="2468" t="s">
        <v>2213</v>
      </c>
      <c r="H56" s="2469" t="s">
        <v>3052</v>
      </c>
      <c r="I56" s="2470"/>
      <c r="J56" s="2995" t="str">
        <f>IF(项目基本情况!K6="上海银行",IF(J55="",4,J55+1),"")</f>
        <v/>
      </c>
      <c r="K56" s="3138" t="str">
        <f>IF(项目基本情况!K6="上海银行","其他处置费用","")</f>
        <v/>
      </c>
      <c r="L56" s="3139"/>
      <c r="M56" s="1734" t="str">
        <f>IF(项目基本情况!K6="上海银行",M69,"")</f>
        <v/>
      </c>
      <c r="N56" s="3146" t="str">
        <f>IF(项目基本情况!K6="上海银行","包含处置中涉及的律师、诉讼、拍卖、评估等费用","")</f>
        <v/>
      </c>
      <c r="O56" s="3147"/>
    </row>
    <row r="57" spans="1:35" ht="12.75">
      <c r="A57" s="174" t="s">
        <v>2186</v>
      </c>
      <c r="B57" s="3109" t="s">
        <v>2214</v>
      </c>
      <c r="C57" s="3111"/>
      <c r="D57" s="178">
        <v>0</v>
      </c>
      <c r="E57" s="23" t="s">
        <v>2188</v>
      </c>
      <c r="F57" s="146"/>
      <c r="G57" s="2466"/>
      <c r="H57" s="2470"/>
      <c r="I57" s="2470"/>
      <c r="J57" s="3136">
        <f>IF(AND(J55="",J56=""),4,IF(项目基本情况!K6="上海银行",'结果表 (2)'!J56+1,'结果表 (2)'!J55+1))</f>
        <v>5</v>
      </c>
      <c r="K57" s="3136" t="s">
        <v>2215</v>
      </c>
      <c r="L57" s="2471" t="s">
        <v>2216</v>
      </c>
      <c r="M57" s="1739"/>
      <c r="N57" s="1740">
        <f ca="1">SUMIF(M52:M56,"&lt;9e307")</f>
        <v>397</v>
      </c>
      <c r="O57" s="2472"/>
      <c r="P57" s="1733">
        <f ca="1">N57/M49</f>
        <v>0.17313563017880507</v>
      </c>
    </row>
    <row r="58" spans="1:35" ht="24.75">
      <c r="A58" s="174" t="s">
        <v>2197</v>
      </c>
      <c r="B58" s="3109" t="s">
        <v>2217</v>
      </c>
      <c r="C58" s="3110"/>
      <c r="D58" s="176">
        <f ca="1">IF(H58="转让取得",C81,C97)</f>
        <v>303</v>
      </c>
      <c r="E58" s="11" t="s">
        <v>2212</v>
      </c>
      <c r="F58" s="24" t="s">
        <v>34</v>
      </c>
      <c r="G58" s="2466"/>
      <c r="H58" s="2469" t="s">
        <v>3116</v>
      </c>
      <c r="I58" s="2470"/>
      <c r="J58" s="3136"/>
      <c r="K58" s="3136"/>
      <c r="L58" s="2471" t="s">
        <v>2219</v>
      </c>
      <c r="M58" s="1741"/>
      <c r="N58" s="2473" t="str">
        <f ca="1">NUMBERSTRING(INT(N57*10000),2)&amp;"元整"</f>
        <v>叁佰玖拾柒万元整</v>
      </c>
      <c r="O58" s="2474"/>
    </row>
    <row r="59" spans="1:35" ht="26.25" thickBot="1">
      <c r="A59" s="3148" t="s">
        <v>2220</v>
      </c>
      <c r="B59" s="3149"/>
      <c r="C59" s="3149"/>
      <c r="D59" s="179">
        <f ca="1">IF(H59="非个人房产","——",IF(H59="个人住宅",0,ROUND(D45*I59,0)))</f>
        <v>15</v>
      </c>
      <c r="E59" s="180" t="str">
        <f>IF(H59="非个人房产","——","销售额×税（费）率")</f>
        <v>销售额×税（费）率</v>
      </c>
      <c r="F59" s="181">
        <f>IF(H59="非个人房产","——",IF(H59="个人住宅","免征",I59))</f>
        <v>0.01</v>
      </c>
      <c r="G59" s="2475" t="s">
        <v>2213</v>
      </c>
      <c r="H59" s="2469" t="s">
        <v>3117</v>
      </c>
      <c r="I59" s="182">
        <v>0.01</v>
      </c>
      <c r="J59" s="3150">
        <f>J57+1</f>
        <v>6</v>
      </c>
      <c r="K59" s="3136" t="s">
        <v>2222</v>
      </c>
      <c r="L59" s="2995" t="s">
        <v>2216</v>
      </c>
      <c r="M59" s="1742"/>
      <c r="N59" s="1743">
        <f ca="1">M49-N57</f>
        <v>1896</v>
      </c>
      <c r="O59" s="2476"/>
    </row>
    <row r="60" spans="1:35" ht="12" customHeight="1">
      <c r="A60" s="2477"/>
      <c r="B60" s="2399"/>
      <c r="C60" s="2399"/>
      <c r="D60" s="2399"/>
      <c r="E60" s="2148"/>
      <c r="F60" s="2470"/>
      <c r="G60" s="2470"/>
      <c r="H60" s="2478"/>
      <c r="I60" s="129"/>
      <c r="J60" s="3151"/>
      <c r="K60" s="3136"/>
      <c r="L60" s="2471" t="s">
        <v>2219</v>
      </c>
      <c r="M60" s="1741"/>
      <c r="N60" s="2473" t="str">
        <f ca="1">NUMBERSTRING(INT(N59*10000),2)&amp;"元整"</f>
        <v>壹仟捌佰玖拾陆万元整</v>
      </c>
      <c r="O60" s="2474"/>
    </row>
    <row r="61" spans="1:35" ht="13.5" thickBot="1">
      <c r="A61" s="3140" t="s">
        <v>2223</v>
      </c>
      <c r="B61" s="3140"/>
      <c r="C61" s="3140"/>
      <c r="D61" s="3140"/>
      <c r="E61" s="3140"/>
      <c r="F61" s="2470"/>
      <c r="G61" s="2470"/>
      <c r="H61" s="2478"/>
      <c r="I61" s="129"/>
      <c r="J61" s="2995">
        <f>J59+1</f>
        <v>7</v>
      </c>
      <c r="K61" s="3136" t="s">
        <v>2224</v>
      </c>
      <c r="L61" s="3136"/>
      <c r="M61" s="1744"/>
      <c r="N61" s="1745">
        <f ca="1">ROUND(N59*10000/'数据-汇总表'!E3,0)</f>
        <v>14969</v>
      </c>
      <c r="O61" s="2479"/>
    </row>
    <row r="62" spans="1:35" ht="12.75">
      <c r="A62" s="3141" t="s">
        <v>2225</v>
      </c>
      <c r="B62" s="3142"/>
      <c r="C62" s="2992"/>
      <c r="D62" s="2992" t="s">
        <v>2226</v>
      </c>
      <c r="E62" s="183" t="s">
        <v>2227</v>
      </c>
      <c r="F62" s="2470"/>
      <c r="G62" s="2470"/>
      <c r="H62" s="2478"/>
      <c r="I62" s="129"/>
    </row>
    <row r="63" spans="1:35" ht="12.75">
      <c r="A63" s="194" t="s">
        <v>775</v>
      </c>
      <c r="B63" s="184" t="s">
        <v>2228</v>
      </c>
      <c r="C63" s="185">
        <f ca="1">ROUND((C64+C65)/(1+'数据-取费表'!C42),0)</f>
        <v>1398</v>
      </c>
      <c r="D63" s="186"/>
      <c r="E63" s="187"/>
      <c r="F63" s="2470"/>
      <c r="G63" s="2470"/>
      <c r="H63" s="2478"/>
      <c r="I63" s="129"/>
      <c r="J63" s="3143" t="s">
        <v>2229</v>
      </c>
      <c r="K63" s="2997" t="s">
        <v>2230</v>
      </c>
      <c r="L63" s="1732">
        <f ca="1">IF(M49&gt;10000,M49*0.5%,IF(AND(M49&gt;1000,M49&lt;=10000),M49*1%,IF(AND(M49&gt;100,M49&lt;=1000),M49*3%,IF(AND(M49&gt;10,M49&lt;=100),M49*5%,M49*8%))))</f>
        <v>22.93</v>
      </c>
      <c r="M63" s="24">
        <f ca="1">ROUND(L63,1)</f>
        <v>22.9</v>
      </c>
      <c r="Z63" s="2404"/>
      <c r="AI63" s="2405"/>
    </row>
    <row r="64" spans="1:35" ht="14.25" customHeight="1">
      <c r="A64" s="188" t="s">
        <v>770</v>
      </c>
      <c r="B64" s="189" t="s">
        <v>2231</v>
      </c>
      <c r="C64" s="190">
        <f ca="1">D45</f>
        <v>1468</v>
      </c>
      <c r="D64" s="191" t="s">
        <v>32</v>
      </c>
      <c r="E64" s="192"/>
      <c r="F64" s="2470"/>
      <c r="G64" s="2470"/>
      <c r="H64" s="2478"/>
      <c r="I64" s="129"/>
      <c r="J64" s="3143"/>
      <c r="K64" s="2997" t="s">
        <v>2232</v>
      </c>
      <c r="L64" s="1732">
        <f ca="1">IF(M49&gt;2000,M49*0.5%,IF(AND(M49&gt;1000,M49&lt;=2000),M49*0.6%,IF(AND(M49&gt;500,M49&lt;=1000),M49*0.7%,IF(AND(M49&gt;200,M49&lt;=500),M49*0.8%,IF(AND(M49&gt;100,M49&lt;=200),M49*0.9%,IF(AND(M49&gt;50,M49&lt;=100),M49*1%,IF(AND(M49&gt;20,M49&lt;=50),M49*1.5%,IF(AND(M49&gt;10,M49&lt;=20),M49*2%,IF(AND(M49&gt;1,M49&lt;=10),M49*2.5%)))))))))</f>
        <v>11.465</v>
      </c>
      <c r="M64" s="24">
        <f t="shared" ref="M64:M65" ca="1" si="1">ROUND(L64,1)</f>
        <v>11.5</v>
      </c>
      <c r="N64" s="129" t="s">
        <v>2233</v>
      </c>
      <c r="Z64" s="2404"/>
      <c r="AI64" s="2405"/>
    </row>
    <row r="65" spans="1:35" ht="14.25" customHeight="1">
      <c r="A65" s="188" t="s">
        <v>771</v>
      </c>
      <c r="B65" s="189" t="s">
        <v>2234</v>
      </c>
      <c r="C65" s="193"/>
      <c r="D65" s="191"/>
      <c r="E65" s="192"/>
      <c r="F65" s="2470"/>
      <c r="G65" s="2470"/>
      <c r="H65" s="2478"/>
      <c r="I65" s="129"/>
      <c r="J65" s="3143"/>
      <c r="K65" s="2997" t="s">
        <v>2235</v>
      </c>
      <c r="L65" s="1732">
        <f ca="1">IF(M49&gt;1000,M49*0.1%,IF(AND(M49&gt;500,M49&lt;=1000),M49*0.5%,IF(AND(M49&gt;50,M49&lt;=500),M49*1%,IF(AND(M49&gt;1,M49&lt;=50),M49*1.5%))))</f>
        <v>2.2930000000000001</v>
      </c>
      <c r="M65" s="24">
        <f t="shared" ca="1" si="1"/>
        <v>2.2999999999999998</v>
      </c>
      <c r="N65" s="129" t="s">
        <v>2233</v>
      </c>
      <c r="Z65" s="2404"/>
      <c r="AI65" s="2405"/>
    </row>
    <row r="66" spans="1:35" ht="14.25" customHeight="1">
      <c r="A66" s="194" t="s">
        <v>772</v>
      </c>
      <c r="B66" s="195" t="s">
        <v>2236</v>
      </c>
      <c r="C66" s="196"/>
      <c r="D66" s="197" t="s">
        <v>32</v>
      </c>
      <c r="E66" s="1756" t="s">
        <v>1366</v>
      </c>
      <c r="F66" s="2470"/>
      <c r="G66" s="2470"/>
      <c r="H66" s="2478"/>
      <c r="I66" s="129"/>
      <c r="J66" s="3143"/>
      <c r="K66" s="2997" t="s">
        <v>2237</v>
      </c>
      <c r="L66" s="1732">
        <f ca="1">M49*0.5%</f>
        <v>11.465</v>
      </c>
      <c r="M66" s="24">
        <f ca="1">IF(L66&gt;0.5,0.5,ROUND(L66,0))</f>
        <v>0.5</v>
      </c>
      <c r="N66" s="129" t="s">
        <v>2238</v>
      </c>
      <c r="Z66" s="2404"/>
      <c r="AI66" s="2405"/>
    </row>
    <row r="67" spans="1:35" ht="14.25" customHeight="1">
      <c r="A67" s="194" t="s">
        <v>773</v>
      </c>
      <c r="B67" s="195" t="s">
        <v>2239</v>
      </c>
      <c r="C67" s="198">
        <f ca="1">C63-C66</f>
        <v>1398</v>
      </c>
      <c r="D67" s="191" t="s">
        <v>32</v>
      </c>
      <c r="E67" s="192"/>
      <c r="F67" s="2470"/>
      <c r="G67" s="2470"/>
      <c r="H67" s="2478"/>
      <c r="I67" s="129"/>
      <c r="J67" s="3143"/>
      <c r="K67" s="2997" t="s">
        <v>2240</v>
      </c>
      <c r="L67" s="173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4"/>
      <c r="AI67" s="2405"/>
    </row>
    <row r="68" spans="1:35" ht="14.25" customHeight="1" thickBot="1">
      <c r="A68" s="199" t="s">
        <v>774</v>
      </c>
      <c r="B68" s="200" t="s">
        <v>2241</v>
      </c>
      <c r="C68" s="201">
        <f ca="1">IF(C67&lt;=0,0,ROUND(C67*D68,0))</f>
        <v>78</v>
      </c>
      <c r="D68" s="202">
        <f>'数据-取费表'!B41</f>
        <v>5.6000000000000001E-2</v>
      </c>
      <c r="E68" s="203"/>
      <c r="F68" s="2470"/>
      <c r="G68" s="2470"/>
      <c r="H68" s="2478"/>
      <c r="I68" s="129"/>
      <c r="J68" s="3143"/>
      <c r="K68" s="2997" t="s">
        <v>2242</v>
      </c>
      <c r="L68" s="1732">
        <f ca="1">IF(M49&gt;10000,M49*0.5%,IF(AND(M49&gt;5000,M49&lt;=10000),M49*1%,IF(AND(M49&gt;1000,M49&lt;=5000),M49*2%,IF(AND(M49&gt;200,M49&lt;=1000),M49*3%,M49*5%))))</f>
        <v>45.86</v>
      </c>
      <c r="M68" s="24">
        <f ca="1">ROUND(L68,1)</f>
        <v>45.9</v>
      </c>
      <c r="Z68" s="2404"/>
      <c r="AI68" s="2405"/>
    </row>
    <row r="69" spans="1:35" s="2427" customFormat="1" ht="16.5" customHeight="1">
      <c r="A69" s="2481"/>
      <c r="B69" s="2482"/>
      <c r="C69" s="2483"/>
      <c r="D69" s="2484"/>
      <c r="E69" s="2485"/>
      <c r="F69" s="2148"/>
      <c r="G69" s="2148"/>
      <c r="H69" s="2147"/>
      <c r="I69" s="2399"/>
      <c r="J69" s="3143"/>
      <c r="K69" s="2997" t="s">
        <v>2243</v>
      </c>
      <c r="L69" s="2486"/>
      <c r="M69" s="24">
        <f ca="1">ROUND(SUM(M63:M68),0)</f>
        <v>86</v>
      </c>
      <c r="N69" s="1733">
        <f ca="1">M69/M49</f>
        <v>3.7505451373746182E-2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5" thickBot="1">
      <c r="A70" s="3144" t="s">
        <v>2244</v>
      </c>
      <c r="B70" s="3145"/>
      <c r="C70" s="3145"/>
      <c r="D70" s="3145"/>
      <c r="E70" s="3145"/>
      <c r="F70" s="3145"/>
      <c r="G70" s="3145"/>
      <c r="H70" s="3145"/>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41" t="s">
        <v>2225</v>
      </c>
      <c r="B71" s="3142"/>
      <c r="C71" s="2992"/>
      <c r="D71" s="2992"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194" t="s">
        <v>775</v>
      </c>
      <c r="B72" s="195" t="s">
        <v>2245</v>
      </c>
      <c r="C72" s="198">
        <f ca="1">ROUND(D45/(1+'数据-取费表'!C42),0)</f>
        <v>1398</v>
      </c>
      <c r="D72" s="191" t="s">
        <v>32</v>
      </c>
      <c r="E72" s="2991"/>
      <c r="F72" s="2986"/>
      <c r="G72" s="2986"/>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194" t="s">
        <v>772</v>
      </c>
      <c r="B73" s="164" t="s">
        <v>2246</v>
      </c>
      <c r="C73" s="198">
        <f ca="1">C74+C78</f>
        <v>609</v>
      </c>
      <c r="D73" s="191" t="s">
        <v>32</v>
      </c>
      <c r="E73" s="2991"/>
      <c r="F73" s="2986"/>
      <c r="G73" s="2986"/>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601</v>
      </c>
      <c r="D74" s="191" t="s">
        <v>32</v>
      </c>
      <c r="E74" s="2991"/>
      <c r="F74" s="2986"/>
      <c r="G74" s="2986"/>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08" t="s">
        <v>776</v>
      </c>
      <c r="B75" s="189" t="s">
        <v>2248</v>
      </c>
      <c r="C75" s="209">
        <v>612</v>
      </c>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34" t="s">
        <v>2253</v>
      </c>
      <c r="F76" s="3130"/>
      <c r="G76" s="3130"/>
      <c r="H76" s="3166"/>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18</v>
      </c>
      <c r="D77" s="214">
        <f>'数据-取费表'!B48+'数据-取费表'!B49</f>
        <v>3.0499999999999999E-2</v>
      </c>
      <c r="E77" s="2998" t="s">
        <v>2255</v>
      </c>
      <c r="F77" s="215"/>
      <c r="G77" s="2494" t="s">
        <v>2256</v>
      </c>
      <c r="H77" s="29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8</v>
      </c>
      <c r="D78" s="217">
        <f>'数据-取费表'!B43</f>
        <v>6.000000000000001E-3</v>
      </c>
      <c r="E78" s="3152" t="s">
        <v>2258</v>
      </c>
      <c r="F78" s="3153"/>
      <c r="G78" s="3153"/>
      <c r="H78" s="3154"/>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773</v>
      </c>
      <c r="B79" s="195" t="s">
        <v>2259</v>
      </c>
      <c r="C79" s="198">
        <f ca="1">C72-C73</f>
        <v>789</v>
      </c>
      <c r="D79" s="191" t="s">
        <v>32</v>
      </c>
      <c r="E79" s="2991"/>
      <c r="F79" s="2986"/>
      <c r="G79" s="2986"/>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1.2955665024630543</v>
      </c>
      <c r="D80" s="191" t="s">
        <v>32</v>
      </c>
      <c r="E80" s="299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6"/>
      <c r="G80" s="2986"/>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0" t="s">
        <v>2261</v>
      </c>
      <c r="C81" s="219">
        <f ca="1">ROUND(IF(C79&lt;=0,0,IF(C80&gt;=200%,C79*60%-C73*35%,IF(C80&gt;=100%,C79*50%-C73*15%,IF(C80&gt;=50%,C79*40%-C73*5%,IF(C80&lt;50%,C79*30%,0))))),0)</f>
        <v>303</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44" t="s">
        <v>2262</v>
      </c>
      <c r="B83" s="3145"/>
      <c r="C83" s="3145"/>
      <c r="D83" s="3145"/>
      <c r="E83" s="3145"/>
      <c r="F83" s="3145"/>
      <c r="G83" s="3145"/>
      <c r="H83" s="3145"/>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41" t="s">
        <v>2225</v>
      </c>
      <c r="B84" s="3142"/>
      <c r="C84" s="2992"/>
      <c r="D84" s="2992"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194" t="s">
        <v>775</v>
      </c>
      <c r="B85" s="195" t="s">
        <v>2245</v>
      </c>
      <c r="C85" s="198">
        <f ca="1">ROUND(D45/(1+'数据-取费表'!C42),0)</f>
        <v>1398</v>
      </c>
      <c r="D85" s="191" t="s">
        <v>32</v>
      </c>
      <c r="E85" s="2991"/>
      <c r="F85" s="2986"/>
      <c r="G85" s="2986"/>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194" t="s">
        <v>772</v>
      </c>
      <c r="B86" s="164" t="s">
        <v>2246</v>
      </c>
      <c r="C86" s="198">
        <f ca="1">IF(H88="仅含出让金",C87+C90+C91+C92+C93+C94,C87+C91+C92+C93+C94)</f>
        <v>8</v>
      </c>
      <c r="D86" s="226"/>
      <c r="E86" s="2991"/>
      <c r="F86" s="2986"/>
      <c r="G86" s="2986"/>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08" t="s">
        <v>770</v>
      </c>
      <c r="B87" s="189" t="s">
        <v>2263</v>
      </c>
      <c r="C87" s="216">
        <f>C88+C89</f>
        <v>0</v>
      </c>
      <c r="D87" s="217"/>
      <c r="E87" s="2987"/>
      <c r="F87" s="2988"/>
      <c r="G87" s="2988"/>
      <c r="H87" s="299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08" t="s">
        <v>776</v>
      </c>
      <c r="B88" s="189" t="s">
        <v>2264</v>
      </c>
      <c r="C88" s="227"/>
      <c r="D88" s="217"/>
      <c r="E88" s="228" t="s">
        <v>2265</v>
      </c>
      <c r="F88" s="2988"/>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08" t="s">
        <v>777</v>
      </c>
      <c r="B89" s="189" t="s">
        <v>2254</v>
      </c>
      <c r="C89" s="216">
        <f>ROUND(C88*D89,0)</f>
        <v>0</v>
      </c>
      <c r="D89" s="217">
        <f>'数据-取费表'!B48+'数据-取费表'!B49</f>
        <v>3.0499999999999999E-2</v>
      </c>
      <c r="E89" s="228" t="s">
        <v>2267</v>
      </c>
      <c r="F89" s="2988"/>
      <c r="G89" s="2988"/>
      <c r="H89" s="299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08" t="s">
        <v>771</v>
      </c>
      <c r="B90" s="189" t="s">
        <v>2268</v>
      </c>
      <c r="C90" s="227"/>
      <c r="D90" s="217"/>
      <c r="E90" s="228" t="str">
        <f>IF(H88="-","土地取得成本中已包含该笔费用"," ")</f>
        <v xml:space="preserve"> </v>
      </c>
      <c r="F90" s="2988"/>
      <c r="G90" s="2988"/>
      <c r="H90" s="299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52" t="s">
        <v>2271</v>
      </c>
      <c r="F91" s="3153"/>
      <c r="G91" s="3153"/>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52" t="s">
        <v>2275</v>
      </c>
      <c r="F92" s="3153"/>
      <c r="G92" s="3153"/>
      <c r="H92" s="3154"/>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8</v>
      </c>
      <c r="D93" s="217">
        <f>'数据-取费表'!B43</f>
        <v>6.000000000000001E-3</v>
      </c>
      <c r="E93" s="3152" t="s">
        <v>2258</v>
      </c>
      <c r="F93" s="3153"/>
      <c r="G93" s="3153"/>
      <c r="H93" s="3154"/>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55" t="s">
        <v>2279</v>
      </c>
      <c r="F94" s="3156"/>
      <c r="G94" s="3156"/>
      <c r="H94" s="3157"/>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773</v>
      </c>
      <c r="B95" s="195" t="s">
        <v>2259</v>
      </c>
      <c r="C95" s="198">
        <f ca="1">ROUND(C85-C86,0)</f>
        <v>1390</v>
      </c>
      <c r="D95" s="191" t="s">
        <v>32</v>
      </c>
      <c r="E95" s="2991"/>
      <c r="F95" s="2986"/>
      <c r="G95" s="2986"/>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173.75</v>
      </c>
      <c r="D96" s="191" t="s">
        <v>32</v>
      </c>
      <c r="E96" s="2998"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0" t="s">
        <v>2261</v>
      </c>
      <c r="C97" s="219">
        <f ca="1">ROUND(IF(C95&lt;=0,0,IF(C96&gt;=200%,C95*60%-C86*35%,IF(C96&gt;=100%,C95*50%-C86*15%,IF(C96&gt;=50%,C95*40%-C86*5%,IF(C96&lt;50%,C95*30%,0))))),0)</f>
        <v>831</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58"/>
      <c r="E100" s="3095" t="s">
        <v>2282</v>
      </c>
      <c r="F100" s="3095"/>
      <c r="G100" s="3095"/>
      <c r="H100" s="3158"/>
      <c r="I100" s="129"/>
    </row>
    <row r="101" spans="1:35" ht="18.75" customHeight="1">
      <c r="A101" s="3159" t="s">
        <v>2283</v>
      </c>
      <c r="B101" s="3160"/>
      <c r="C101" s="719" t="str">
        <f>C4</f>
        <v>典型户型修正 (房本2)</v>
      </c>
      <c r="D101" s="720" t="str">
        <f>D4</f>
        <v>典型户型修正 (房本2)</v>
      </c>
      <c r="E101" s="3161" t="s">
        <v>2284</v>
      </c>
      <c r="F101" s="3162"/>
      <c r="G101" s="2501" t="s">
        <v>2285</v>
      </c>
      <c r="H101" s="1028">
        <f ca="1">H118</f>
        <v>2293</v>
      </c>
      <c r="I101" s="129"/>
    </row>
    <row r="102" spans="1:35" ht="18.75" customHeight="1">
      <c r="A102" s="3163" t="s">
        <v>2286</v>
      </c>
      <c r="B102" s="2501" t="s">
        <v>2285</v>
      </c>
      <c r="C102" s="719">
        <f ca="1">C19</f>
        <v>2293</v>
      </c>
      <c r="D102" s="720">
        <f ca="1">D19</f>
        <v>2293</v>
      </c>
      <c r="E102" s="3161"/>
      <c r="F102" s="3162"/>
      <c r="G102" s="2501" t="s">
        <v>2287</v>
      </c>
      <c r="H102" s="362">
        <f ca="1">I118</f>
        <v>18103</v>
      </c>
      <c r="I102" s="129"/>
    </row>
    <row r="103" spans="1:35" ht="42.75" customHeight="1">
      <c r="A103" s="3163"/>
      <c r="B103" s="2501" t="s">
        <v>2287</v>
      </c>
      <c r="C103" s="721">
        <f ca="1">C20</f>
        <v>34147</v>
      </c>
      <c r="D103" s="722">
        <f ca="1">D20</f>
        <v>34147</v>
      </c>
      <c r="E103" s="3164" t="s">
        <v>2288</v>
      </c>
      <c r="F103" s="3165"/>
      <c r="G103" s="2502" t="s">
        <v>2289</v>
      </c>
      <c r="H103" s="1028">
        <f>IF(D36="正常操作",H104+H105+H106,H105+H106)</f>
        <v>0</v>
      </c>
      <c r="I103" s="129"/>
    </row>
    <row r="104" spans="1:35" ht="18.75" customHeight="1">
      <c r="A104" s="3163" t="s">
        <v>2290</v>
      </c>
      <c r="B104" s="2503" t="s">
        <v>2285</v>
      </c>
      <c r="C104" s="723">
        <f ca="1">H118</f>
        <v>2293</v>
      </c>
      <c r="D104" s="724"/>
      <c r="E104" s="2248" t="s">
        <v>2291</v>
      </c>
      <c r="F104" s="2240"/>
      <c r="G104" s="2502" t="s">
        <v>2289</v>
      </c>
      <c r="H104" s="1029" t="str">
        <f>IF(D36="同一抵押权人同一抵押物续贷",C36&amp;"（未扣减，详见特别提示）",C36)</f>
        <v>1900（未扣减，详见特别提示）</v>
      </c>
      <c r="I104" s="129"/>
    </row>
    <row r="105" spans="1:35" ht="18.75" customHeight="1" thickBot="1">
      <c r="A105" s="3172"/>
      <c r="B105" s="2504" t="s">
        <v>2287</v>
      </c>
      <c r="C105" s="725">
        <f ca="1">I118</f>
        <v>18103</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73" t="str">
        <f>IF(项目基本情况!E8="已注销","——","3.房地产抵押价值")</f>
        <v>3.房地产抵押价值</v>
      </c>
      <c r="F107" s="3162"/>
      <c r="G107" s="2501" t="s">
        <v>2285</v>
      </c>
      <c r="H107" s="1028">
        <f ca="1">IF(E107="——","——",H101-H103)</f>
        <v>2293</v>
      </c>
      <c r="I107" s="129"/>
    </row>
    <row r="108" spans="1:35" ht="18.75" customHeight="1">
      <c r="A108" s="129"/>
      <c r="B108" s="129"/>
      <c r="C108" s="129"/>
      <c r="D108" s="129"/>
      <c r="E108" s="3173"/>
      <c r="F108" s="3162"/>
      <c r="G108" s="2501" t="s">
        <v>2287</v>
      </c>
      <c r="H108" s="362">
        <f ca="1">ROUND(H107*10000/'数据-汇总表'!E3,0)</f>
        <v>18103</v>
      </c>
      <c r="I108" s="129"/>
    </row>
    <row r="109" spans="1:35" ht="18.75" customHeight="1">
      <c r="A109" s="129"/>
      <c r="B109" s="129"/>
      <c r="C109" s="129"/>
      <c r="D109" s="129"/>
      <c r="E109" s="3173" t="str">
        <f>IF(项目基本情况!E8="已注销及未注销","4.抵押担保权已注销时的房地产抵押价值",IF(项目基本情况!E8="已注销","3.抵押担保权已注销时的房地产抵押价值","——"))</f>
        <v>——</v>
      </c>
      <c r="F109" s="3162"/>
      <c r="G109" s="2501" t="s">
        <v>2285</v>
      </c>
      <c r="H109" s="339" t="str">
        <f>IF(E109="——","——",H101-H105-H106)</f>
        <v>——</v>
      </c>
      <c r="I109" s="129"/>
    </row>
    <row r="110" spans="1:35" ht="18.75" customHeight="1">
      <c r="A110" s="129"/>
      <c r="B110" s="129"/>
      <c r="C110" s="129"/>
      <c r="D110" s="129"/>
      <c r="E110" s="3173"/>
      <c r="F110" s="3162"/>
      <c r="G110" s="2501" t="s">
        <v>2287</v>
      </c>
      <c r="H110" s="362" t="str">
        <f>IF(H109="——","——",ROUND(H109*10000/'数据-汇总表'!E3,0))</f>
        <v>——</v>
      </c>
      <c r="I110" s="129"/>
    </row>
    <row r="111" spans="1:35" ht="18.75" customHeight="1">
      <c r="A111" s="129"/>
      <c r="B111" s="129"/>
      <c r="C111" s="129"/>
      <c r="D111" s="129"/>
      <c r="E111" s="3174" t="str">
        <f>IF(项目基本情况!E9="抵押净值",IF(OR(项目基本情况!E8="已注销",项目基本情况!E8="房地产抵押价值"),"4.抵押净值","5.抵押净值"),"——")</f>
        <v>——</v>
      </c>
      <c r="F111" s="3175"/>
      <c r="G111" s="2501" t="s">
        <v>2285</v>
      </c>
      <c r="H111" s="1028" t="str">
        <f>IF(E111="——","——",N59)</f>
        <v>——</v>
      </c>
      <c r="I111" s="129"/>
    </row>
    <row r="112" spans="1:35" ht="18.75" customHeight="1" thickBot="1">
      <c r="A112" s="129"/>
      <c r="B112" s="129"/>
      <c r="C112" s="129"/>
      <c r="D112" s="129"/>
      <c r="E112" s="3176"/>
      <c r="F112" s="3177"/>
      <c r="G112" s="2506" t="s">
        <v>2287</v>
      </c>
      <c r="H112" s="773" t="str">
        <f>IF(E111="——","——",N61)</f>
        <v>——</v>
      </c>
      <c r="I112" s="129"/>
    </row>
    <row r="113" spans="1:11" ht="18.75" customHeight="1">
      <c r="A113" s="129"/>
      <c r="B113" s="129"/>
      <c r="C113" s="129"/>
      <c r="D113" s="129"/>
      <c r="E113" s="3178" t="s">
        <v>2293</v>
      </c>
      <c r="F113" s="3178"/>
      <c r="G113" s="3178"/>
      <c r="H113" s="3178"/>
      <c r="I113" s="129"/>
    </row>
    <row r="114" spans="1:11" ht="3.75" customHeight="1">
      <c r="A114" s="2399"/>
      <c r="B114" s="2399"/>
      <c r="C114" s="2399"/>
      <c r="D114" s="2399"/>
      <c r="E114" s="2477"/>
      <c r="F114" s="2477"/>
      <c r="G114" s="2477"/>
      <c r="H114" s="2477"/>
      <c r="I114" s="2399"/>
    </row>
    <row r="115" spans="1:11" ht="18.75" customHeight="1">
      <c r="A115" s="3179" t="s">
        <v>2295</v>
      </c>
      <c r="B115" s="3180"/>
      <c r="C115" s="3180"/>
      <c r="D115" s="3180"/>
      <c r="E115" s="3180"/>
      <c r="F115" s="3180"/>
      <c r="G115" s="3180"/>
      <c r="H115" s="3180"/>
      <c r="I115" s="3181"/>
    </row>
    <row r="116" spans="1:11" ht="27" customHeight="1">
      <c r="A116" s="3073" t="s">
        <v>2296</v>
      </c>
      <c r="B116" s="3167" t="s">
        <v>2297</v>
      </c>
      <c r="C116" s="3167" t="s">
        <v>2298</v>
      </c>
      <c r="D116" s="3169" t="s">
        <v>2299</v>
      </c>
      <c r="E116" s="3170"/>
      <c r="F116" s="3171" t="s">
        <v>2300</v>
      </c>
      <c r="G116" s="3171"/>
      <c r="H116" s="3073" t="s">
        <v>2301</v>
      </c>
      <c r="I116" s="3073"/>
    </row>
    <row r="117" spans="1:11" ht="18.75" customHeight="1">
      <c r="A117" s="3073"/>
      <c r="B117" s="3168"/>
      <c r="C117" s="3168"/>
      <c r="D117" s="2984" t="s">
        <v>2302</v>
      </c>
      <c r="E117" s="2984" t="s">
        <v>2303</v>
      </c>
      <c r="F117" s="2984" t="s">
        <v>2302</v>
      </c>
      <c r="G117" s="2984" t="s">
        <v>2304</v>
      </c>
      <c r="H117" s="2984" t="s">
        <v>2302</v>
      </c>
      <c r="I117" s="2984" t="s">
        <v>2304</v>
      </c>
    </row>
    <row r="118" spans="1:11" ht="24.75" customHeight="1">
      <c r="A118" s="2507" t="str">
        <f>项目基本情况!S2</f>
        <v>北京市房地产</v>
      </c>
      <c r="B118" s="2984">
        <f>M18</f>
        <v>1266.6499999999999</v>
      </c>
      <c r="C118" s="2984">
        <f>M19</f>
        <v>0</v>
      </c>
      <c r="D118" s="2984">
        <f ca="1">ROUND(IF(D32="总价",C34,E118*B118/10000),0)</f>
        <v>1862</v>
      </c>
      <c r="E118" s="2984">
        <f ca="1">ROUND(IF(C33="自定义",IF(D32="楼面单价",C34,D118*10000/B118),I118-G118),0)</f>
        <v>14700</v>
      </c>
      <c r="F118" s="2984">
        <f ca="1">ROUND(IF(D32="总价",C35,G118*B118/10000),0)</f>
        <v>431</v>
      </c>
      <c r="G118" s="2984">
        <f ca="1">ROUND(IF(D32="楼面单价",C35,F118*10000/B118),0)</f>
        <v>3403</v>
      </c>
      <c r="H118" s="2984">
        <f ca="1">ROUND(IF(D32="总价",C32,I118*B118/10000),0)</f>
        <v>2293</v>
      </c>
      <c r="I118" s="2984">
        <f ca="1">ROUND(IF(D32="楼面单价",C32,H118*10000/B118),0)</f>
        <v>18103</v>
      </c>
    </row>
    <row r="119" spans="1:11" ht="18.75" customHeight="1">
      <c r="A119" s="3073" t="s">
        <v>2305</v>
      </c>
      <c r="B119" s="3073"/>
      <c r="C119" s="3073"/>
      <c r="D119" s="3185" t="str">
        <f ca="1">NUMBERSTRING(INT(D118*10000),2)&amp;"元整"</f>
        <v>壹仟捌佰陆拾贰万元整</v>
      </c>
      <c r="E119" s="3187"/>
      <c r="F119" s="3185" t="str">
        <f ca="1">NUMBERSTRING(INT(F118*10000),2)&amp;"元整"</f>
        <v>肆佰叁拾壹万元整</v>
      </c>
      <c r="G119" s="3187"/>
      <c r="H119" s="3185" t="str">
        <f ca="1">NUMBERSTRING(INT(H118*10000),2)&amp;"元整"</f>
        <v>贰仟贰佰玖拾叁万元整</v>
      </c>
      <c r="I119" s="3187"/>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4" t="str">
        <f>IF(D120=0,"故，本次评估不存在"&amp;A120,"故，本次评估"&amp;A120&amp;"为人民币"&amp;D120&amp;"万元整。")</f>
        <v>故，本次评估不存在估价师知悉的法定优先受偿款</v>
      </c>
    </row>
    <row r="121" spans="1:11" ht="18.75" customHeight="1">
      <c r="A121" s="3182" t="s">
        <v>2305</v>
      </c>
      <c r="B121" s="3183"/>
      <c r="C121" s="3184"/>
      <c r="D121" s="3185" t="str">
        <f>IF(D120=0,"零元整",NUMBERSTRING(INT(D120*10000),2)&amp;"元整")</f>
        <v>零元整</v>
      </c>
      <c r="E121" s="3186"/>
      <c r="F121" s="3186"/>
      <c r="G121" s="3186"/>
      <c r="H121" s="3186"/>
      <c r="I121" s="3187"/>
    </row>
    <row r="122" spans="1:11" ht="18.75" customHeight="1">
      <c r="A122" s="3188" t="str">
        <f>IF(项目基本情况!B9="房地产市场价值","",MID(E107,3,LEN(E107)-2))</f>
        <v>房地产抵押价值</v>
      </c>
      <c r="B122" s="3188"/>
      <c r="C122" s="3188"/>
      <c r="D122" s="3189">
        <f ca="1">H107</f>
        <v>2293</v>
      </c>
      <c r="E122" s="3190"/>
      <c r="F122" s="3190"/>
      <c r="G122" s="3190"/>
      <c r="H122" s="3190"/>
      <c r="I122" s="3191"/>
    </row>
    <row r="123" spans="1:11" ht="18.75" customHeight="1">
      <c r="A123" s="3073" t="s">
        <v>2305</v>
      </c>
      <c r="B123" s="3073"/>
      <c r="C123" s="3073"/>
      <c r="D123" s="3185" t="str">
        <f ca="1">NUMBERSTRING(INT(D122*10000),2)&amp;"元整"</f>
        <v>贰仟贰佰玖拾叁万元整</v>
      </c>
      <c r="E123" s="3186"/>
      <c r="F123" s="3186"/>
      <c r="G123" s="3186"/>
      <c r="H123" s="3186"/>
      <c r="I123" s="3187"/>
    </row>
    <row r="124" spans="1:11" ht="18.75" customHeight="1">
      <c r="A124" s="3188" t="str">
        <f>IF(项目基本情况!B9="房地产市场价值","",MID(E109,3,LEN(E109)-2))</f>
        <v/>
      </c>
      <c r="B124" s="3188"/>
      <c r="C124" s="3188"/>
      <c r="D124" s="3189" t="str">
        <f>H109</f>
        <v>——</v>
      </c>
      <c r="E124" s="3190"/>
      <c r="F124" s="3190"/>
      <c r="G124" s="3190"/>
      <c r="H124" s="3190"/>
      <c r="I124" s="3191"/>
    </row>
    <row r="125" spans="1:11" ht="18.75" customHeight="1">
      <c r="A125" s="3073" t="s">
        <v>2305</v>
      </c>
      <c r="B125" s="3073"/>
      <c r="C125" s="3073"/>
      <c r="D125" s="3185" t="e">
        <f>NUMBERSTRING(INT(D124*10000),2)&amp;"元整"</f>
        <v>#VALUE!</v>
      </c>
      <c r="E125" s="3186"/>
      <c r="F125" s="3186"/>
      <c r="G125" s="3186"/>
      <c r="H125" s="3186"/>
      <c r="I125" s="3187"/>
    </row>
    <row r="126" spans="1:11" ht="18.75" customHeight="1">
      <c r="A126" s="3188" t="str">
        <f>IF(项目基本情况!B9="房地产市场价值","",MID(E111,3,LEN(E111)-2))</f>
        <v/>
      </c>
      <c r="B126" s="3188"/>
      <c r="C126" s="3188"/>
      <c r="D126" s="3189" t="str">
        <f>H111</f>
        <v>——</v>
      </c>
      <c r="E126" s="3190"/>
      <c r="F126" s="3190"/>
      <c r="G126" s="3190"/>
      <c r="H126" s="3190"/>
      <c r="I126" s="3191"/>
    </row>
    <row r="127" spans="1:11" ht="18.75" customHeight="1">
      <c r="A127" s="3073" t="s">
        <v>2305</v>
      </c>
      <c r="B127" s="3073"/>
      <c r="C127" s="3073"/>
      <c r="D127" s="3185" t="e">
        <f>NUMBERSTRING(INT(D126*10000),2)&amp;"元整"</f>
        <v>#VALUE!</v>
      </c>
      <c r="E127" s="3186"/>
      <c r="F127" s="3186"/>
      <c r="G127" s="3186"/>
      <c r="H127" s="3186"/>
      <c r="I127" s="3187"/>
    </row>
    <row r="128" spans="1:11" ht="21.75" customHeight="1">
      <c r="A128" s="3192" t="s">
        <v>2306</v>
      </c>
      <c r="B128" s="3192"/>
      <c r="C128" s="3192"/>
      <c r="D128" s="3192"/>
      <c r="E128" s="3192"/>
      <c r="F128" s="3192"/>
      <c r="G128" s="3192"/>
      <c r="H128" s="3192"/>
      <c r="I128" s="3192"/>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4" zoomScaleSheetLayoutView="100" zoomScalePageLayoutView="80" workbookViewId="0">
      <selection activeCell="G1" sqref="G1"/>
    </sheetView>
  </sheetViews>
  <sheetFormatPr defaultColWidth="12.625" defaultRowHeight="21.75" customHeight="1"/>
  <cols>
    <col min="1" max="2" width="12.625" style="2405"/>
    <col min="3" max="4" width="12.625" style="2405" customWidth="1"/>
    <col min="5" max="9" width="12.625" style="2405"/>
    <col min="10" max="11" width="12.625" style="778" customWidth="1"/>
    <col min="12" max="12" width="12.625" style="778"/>
    <col min="13" max="13" width="14.125" style="778" bestFit="1" customWidth="1"/>
    <col min="14" max="26" width="12.625" style="778"/>
    <col min="27" max="35" width="12.625" style="2404"/>
    <col min="36" max="16384" width="12.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04" t="str">
        <f>项目基本情况!S2</f>
        <v>北京市房地产</v>
      </c>
      <c r="B2" s="3105"/>
      <c r="C2" s="3105"/>
      <c r="D2" s="3105"/>
      <c r="E2" s="3105"/>
      <c r="F2" s="3105"/>
      <c r="G2" s="3105"/>
      <c r="H2" s="3105"/>
      <c r="I2" s="3106"/>
    </row>
    <row r="3" spans="1:12" ht="12.75">
      <c r="A3" s="3107" t="s">
        <v>2107</v>
      </c>
      <c r="B3" s="3108"/>
      <c r="C3" s="3108"/>
      <c r="D3" s="3108"/>
      <c r="E3" s="3108"/>
      <c r="F3" s="3108"/>
      <c r="G3" s="3108"/>
      <c r="H3" s="3108"/>
      <c r="I3" s="3108"/>
    </row>
    <row r="4" spans="1:12" ht="14.25">
      <c r="A4" s="2406" t="s">
        <v>2108</v>
      </c>
      <c r="B4" s="2407" t="s">
        <v>2109</v>
      </c>
      <c r="C4" s="2408" t="s">
        <v>3053</v>
      </c>
      <c r="D4" s="2408" t="s">
        <v>3054</v>
      </c>
      <c r="E4" s="3109" t="s">
        <v>2110</v>
      </c>
      <c r="F4" s="3110"/>
      <c r="G4" s="3110"/>
      <c r="H4" s="3110"/>
      <c r="I4" s="3111"/>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2.75">
      <c r="A5" s="3100" t="s">
        <v>2111</v>
      </c>
      <c r="B5" s="3073">
        <v>25</v>
      </c>
      <c r="C5" s="3101"/>
      <c r="D5" s="3103"/>
      <c r="E5" s="131" t="s">
        <v>2112</v>
      </c>
      <c r="F5" s="2410"/>
      <c r="G5" s="2410"/>
      <c r="H5" s="2410"/>
      <c r="I5" s="1814"/>
    </row>
    <row r="6" spans="1:12" ht="12.75">
      <c r="A6" s="3100"/>
      <c r="B6" s="3073"/>
      <c r="C6" s="3112"/>
      <c r="D6" s="3103"/>
      <c r="E6" s="131" t="s">
        <v>2113</v>
      </c>
      <c r="F6" s="2410"/>
      <c r="G6" s="2410"/>
      <c r="H6" s="2410"/>
      <c r="I6" s="1814"/>
    </row>
    <row r="7" spans="1:12" ht="12.75">
      <c r="A7" s="3100"/>
      <c r="B7" s="3073"/>
      <c r="C7" s="3102"/>
      <c r="D7" s="3103"/>
      <c r="E7" s="131" t="s">
        <v>2114</v>
      </c>
      <c r="F7" s="2410"/>
      <c r="G7" s="2410"/>
      <c r="H7" s="2410"/>
      <c r="I7" s="1814"/>
    </row>
    <row r="8" spans="1:12" ht="12.75">
      <c r="A8" s="3100" t="s">
        <v>2115</v>
      </c>
      <c r="B8" s="3073">
        <v>15</v>
      </c>
      <c r="C8" s="3101"/>
      <c r="D8" s="3103"/>
      <c r="E8" s="131" t="s">
        <v>2116</v>
      </c>
      <c r="F8" s="2410"/>
      <c r="G8" s="2410"/>
      <c r="H8" s="2410"/>
      <c r="I8" s="1814"/>
    </row>
    <row r="9" spans="1:12" ht="12.75">
      <c r="A9" s="3100"/>
      <c r="B9" s="3073"/>
      <c r="C9" s="3102"/>
      <c r="D9" s="3103"/>
      <c r="E9" s="131" t="s">
        <v>2117</v>
      </c>
      <c r="F9" s="2410"/>
      <c r="G9" s="2410"/>
      <c r="H9" s="2410"/>
      <c r="I9" s="1814"/>
    </row>
    <row r="10" spans="1:12" ht="12.75">
      <c r="A10" s="3100" t="s">
        <v>2118</v>
      </c>
      <c r="B10" s="3073">
        <v>15</v>
      </c>
      <c r="C10" s="3101"/>
      <c r="D10" s="3103"/>
      <c r="E10" s="131" t="s">
        <v>2119</v>
      </c>
      <c r="F10" s="2410"/>
      <c r="G10" s="2410"/>
      <c r="H10" s="2410"/>
      <c r="I10" s="1814"/>
    </row>
    <row r="11" spans="1:12" ht="12.75">
      <c r="A11" s="3100"/>
      <c r="B11" s="3073"/>
      <c r="C11" s="3102"/>
      <c r="D11" s="3103"/>
      <c r="E11" s="131" t="s">
        <v>2120</v>
      </c>
      <c r="F11" s="2410"/>
      <c r="G11" s="2410"/>
      <c r="H11" s="2410"/>
      <c r="I11" s="1814"/>
    </row>
    <row r="12" spans="1:12" ht="12.75">
      <c r="A12" s="3100" t="s">
        <v>2121</v>
      </c>
      <c r="B12" s="3073">
        <v>15</v>
      </c>
      <c r="C12" s="3101"/>
      <c r="D12" s="3103"/>
      <c r="E12" s="131" t="s">
        <v>2122</v>
      </c>
      <c r="F12" s="2410"/>
      <c r="G12" s="2410"/>
      <c r="H12" s="2410"/>
      <c r="I12" s="1814"/>
    </row>
    <row r="13" spans="1:12" ht="12.75">
      <c r="A13" s="3100"/>
      <c r="B13" s="3073"/>
      <c r="C13" s="3102"/>
      <c r="D13" s="3103"/>
      <c r="E13" s="131" t="s">
        <v>2123</v>
      </c>
      <c r="F13" s="2410"/>
      <c r="G13" s="2410"/>
      <c r="H13" s="2410"/>
      <c r="I13" s="1814"/>
    </row>
    <row r="14" spans="1:12" ht="12.75">
      <c r="A14" s="3100" t="s">
        <v>2124</v>
      </c>
      <c r="B14" s="3073">
        <v>30</v>
      </c>
      <c r="C14" s="3101">
        <v>5</v>
      </c>
      <c r="D14" s="3103">
        <v>5</v>
      </c>
      <c r="E14" s="131" t="s">
        <v>2125</v>
      </c>
      <c r="F14" s="2410"/>
      <c r="G14" s="2410"/>
      <c r="H14" s="2410"/>
      <c r="I14" s="1814"/>
    </row>
    <row r="15" spans="1:12" ht="12.75">
      <c r="A15" s="3100"/>
      <c r="B15" s="3073"/>
      <c r="C15" s="3112"/>
      <c r="D15" s="3103"/>
      <c r="E15" s="131" t="s">
        <v>2126</v>
      </c>
      <c r="F15" s="2410"/>
      <c r="G15" s="2410"/>
      <c r="H15" s="2410"/>
      <c r="I15" s="1814"/>
    </row>
    <row r="16" spans="1:12" ht="12.75">
      <c r="A16" s="3100"/>
      <c r="B16" s="3073"/>
      <c r="C16" s="3102"/>
      <c r="D16" s="3103"/>
      <c r="E16" s="131" t="s">
        <v>2127</v>
      </c>
      <c r="F16" s="2410"/>
      <c r="G16" s="2410"/>
      <c r="H16" s="2410"/>
      <c r="I16" s="1814"/>
    </row>
    <row r="17" spans="1:35" ht="15">
      <c r="A17" s="2411" t="s">
        <v>2128</v>
      </c>
      <c r="B17" s="63"/>
      <c r="C17" s="132">
        <f>SUM(C5:C16)</f>
        <v>5</v>
      </c>
      <c r="D17" s="132">
        <f>SUM(D5:D16)</f>
        <v>5</v>
      </c>
      <c r="E17" s="129"/>
      <c r="F17" s="129"/>
      <c r="G17" s="129"/>
      <c r="H17" s="129"/>
      <c r="I17" s="129"/>
      <c r="K17" s="2409"/>
      <c r="L17" s="2412" t="s">
        <v>2129</v>
      </c>
      <c r="M17" s="2412" t="s">
        <v>2130</v>
      </c>
    </row>
    <row r="18" spans="1:35" ht="15.7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5">
      <c r="A19" s="2415" t="s">
        <v>2133</v>
      </c>
      <c r="B19" s="2416" t="s">
        <v>2134</v>
      </c>
      <c r="C19" s="134">
        <f ca="1">SUMIF(INDIRECT("'"&amp;C4&amp;"'"&amp;"!A:A"),结果表!B19,INDIRECT("'"&amp;C4&amp;"'"&amp;"!B:B"))</f>
        <v>419</v>
      </c>
      <c r="D19" s="135">
        <f ca="1">SUMIF(INDIRECT("'"&amp;D4&amp;"'"&amp;"!A:A"),结果表!B19,INDIRECT("'"&amp;D4&amp;"'"&amp;"!B:B"))</f>
        <v>450</v>
      </c>
      <c r="E19" s="2415" t="s">
        <v>2135</v>
      </c>
      <c r="F19" s="2416" t="s">
        <v>2134</v>
      </c>
      <c r="G19" s="136">
        <f ca="1">ROUND(C19*$C$18+D19*$D$18,0)</f>
        <v>435</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5">
      <c r="A20" s="2418"/>
      <c r="B20" s="1230" t="s">
        <v>2138</v>
      </c>
      <c r="C20" s="137">
        <f ca="1">SUMIF(INDIRECT("'"&amp;C4&amp;"'"&amp;"!A:A"),结果表!B20,INDIRECT("'"&amp;C4&amp;"'"&amp;"!B:B"))</f>
        <v>33277</v>
      </c>
      <c r="D20" s="138">
        <f ca="1">SUMIF(INDIRECT("'"&amp;D4&amp;"'"&amp;"!A:A"),结果表!B20,INDIRECT("'"&amp;D4&amp;"'"&amp;"!B:B"))</f>
        <v>35761</v>
      </c>
      <c r="E20" s="2418"/>
      <c r="F20" s="1230" t="s">
        <v>2138</v>
      </c>
      <c r="G20" s="139">
        <f ca="1">ROUND(C20*$C$18+D20*$D$18,0)</f>
        <v>34519</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7.398568019093088E-2</v>
      </c>
      <c r="E22" s="129"/>
      <c r="F22" s="129"/>
      <c r="G22" s="129"/>
      <c r="H22" s="129"/>
      <c r="I22" s="129"/>
    </row>
    <row r="23" spans="1:35" ht="13.5" thickBot="1">
      <c r="A23" s="2399"/>
      <c r="B23" s="2399"/>
      <c r="C23" s="2399"/>
      <c r="D23" s="2399"/>
      <c r="E23" s="129"/>
      <c r="F23" s="129"/>
      <c r="G23" s="129"/>
      <c r="H23" s="129"/>
      <c r="I23" s="129"/>
    </row>
    <row r="24" spans="1:35" ht="14.25">
      <c r="A24" s="3113" t="s">
        <v>2142</v>
      </c>
      <c r="B24" s="2416" t="s">
        <v>2134</v>
      </c>
      <c r="C24" s="136">
        <f>IF(B30=0,0,D30)</f>
        <v>0</v>
      </c>
      <c r="D24" s="2423"/>
      <c r="E24" s="129"/>
      <c r="F24" s="129"/>
      <c r="G24" s="129"/>
      <c r="H24" s="129"/>
      <c r="I24" s="129"/>
    </row>
    <row r="25" spans="1:35" ht="14.25">
      <c r="A25" s="3114"/>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4.25">
      <c r="A27" s="2425"/>
      <c r="B27" s="142">
        <v>0</v>
      </c>
      <c r="C27" s="142">
        <v>0</v>
      </c>
      <c r="D27" s="143">
        <f>ROUND(C27*B27/10000,0)</f>
        <v>0</v>
      </c>
      <c r="E27" s="129"/>
      <c r="F27" s="129"/>
      <c r="G27" s="129"/>
      <c r="H27" s="129"/>
      <c r="I27" s="129"/>
    </row>
    <row r="28" spans="1:35" ht="14.25">
      <c r="A28" s="2425"/>
      <c r="B28" s="142"/>
      <c r="C28" s="142"/>
      <c r="D28" s="143"/>
      <c r="E28" s="129"/>
      <c r="F28" s="129"/>
      <c r="G28" s="129"/>
      <c r="H28" s="129"/>
      <c r="I28" s="129"/>
    </row>
    <row r="29" spans="1:35" ht="14.25">
      <c r="A29" s="2425"/>
      <c r="B29" s="142"/>
      <c r="C29" s="142"/>
      <c r="D29" s="143"/>
      <c r="E29" s="129"/>
      <c r="F29" s="129"/>
      <c r="G29" s="129"/>
      <c r="H29" s="129"/>
      <c r="I29" s="129"/>
    </row>
    <row r="30" spans="1:35" ht="14.25">
      <c r="A30" s="142" t="s">
        <v>2147</v>
      </c>
      <c r="B30" s="142"/>
      <c r="C30" s="142"/>
      <c r="D30" s="142"/>
      <c r="E30" s="2898" t="s">
        <v>3020</v>
      </c>
      <c r="F30" s="129"/>
      <c r="G30" s="129"/>
      <c r="H30" s="129"/>
      <c r="I30" s="129"/>
    </row>
    <row r="31" spans="1:35" s="2427" customFormat="1" ht="15"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75" thickBot="1">
      <c r="A32" s="2428" t="s">
        <v>2148</v>
      </c>
      <c r="B32" s="2429"/>
      <c r="C32" s="144">
        <f ca="1">IF(D32="总价",G19-C24,G20-C25)</f>
        <v>435</v>
      </c>
      <c r="D32" s="2430" t="s">
        <v>2149</v>
      </c>
      <c r="E32" s="129"/>
      <c r="F32" s="129"/>
      <c r="G32" s="129"/>
      <c r="H32" s="129"/>
      <c r="I32" s="129"/>
    </row>
    <row r="33" spans="1:15" ht="15">
      <c r="A33" s="940" t="s">
        <v>2150</v>
      </c>
      <c r="B33" s="2431"/>
      <c r="C33" s="2432"/>
      <c r="D33" s="2433"/>
      <c r="E33" s="2434" t="s">
        <v>2151</v>
      </c>
      <c r="F33" s="2435" t="str">
        <f>IF(D32="楼面单价","取值（单价）","取值（总价）")</f>
        <v>取值（总价）</v>
      </c>
      <c r="G33" s="129"/>
      <c r="H33" s="129"/>
      <c r="I33" s="129"/>
    </row>
    <row r="34" spans="1:15" ht="15">
      <c r="A34" s="2436"/>
      <c r="B34" s="2437" t="s">
        <v>2152</v>
      </c>
      <c r="C34" s="148" t="e">
        <f ca="1">IF(C33="自定义",F34,C32-C35)</f>
        <v>#REF!</v>
      </c>
      <c r="D34" s="1038" t="e">
        <f ca="1">IF(C33="自定义",ROUND(C34/C32,3),IF(C33="收益比率",SUMIF(INDIRECT("'"&amp;D33&amp;"'"&amp;"!b:b"),"土地收益比率",INDIRECT("'"&amp;D33&amp;"'"&amp;"!c:c")),SUMIF(INDIRECT("'"&amp;D33&amp;"'"&amp;"!b:b"),"土地成本比率",INDIRECT("'"&amp;D33&amp;"'"&amp;"!c:c"))))</f>
        <v>#REF!</v>
      </c>
      <c r="E34" s="2438" t="s">
        <v>2153</v>
      </c>
      <c r="F34" s="1719"/>
      <c r="G34" s="129"/>
      <c r="H34" s="129"/>
      <c r="I34" s="129"/>
    </row>
    <row r="35" spans="1:15" ht="15.75" thickBot="1">
      <c r="A35" s="2439"/>
      <c r="B35" s="2440" t="s">
        <v>2154</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1" t="s">
        <v>2155</v>
      </c>
      <c r="F35" s="154"/>
      <c r="G35" s="129"/>
      <c r="H35" s="129"/>
      <c r="I35" s="129"/>
    </row>
    <row r="36" spans="1:15" ht="15.75" thickBot="1">
      <c r="A36" s="3115" t="s">
        <v>2156</v>
      </c>
      <c r="B36" s="2442" t="s">
        <v>2157</v>
      </c>
      <c r="C36" s="145"/>
      <c r="D36" s="2443"/>
      <c r="E36" s="2444"/>
      <c r="F36" s="2445"/>
      <c r="G36" s="129"/>
      <c r="H36" s="129"/>
      <c r="I36" s="129"/>
    </row>
    <row r="37" spans="1:15" ht="15.75" thickBot="1">
      <c r="A37" s="3116"/>
      <c r="B37" s="2248" t="s">
        <v>2158</v>
      </c>
      <c r="C37" s="147"/>
      <c r="D37" s="1375"/>
      <c r="E37" s="1375"/>
      <c r="F37" s="2445"/>
      <c r="G37" s="129"/>
      <c r="H37" s="129"/>
      <c r="I37" s="129"/>
    </row>
    <row r="38" spans="1:15" ht="15.75" thickBot="1">
      <c r="A38" s="3117"/>
      <c r="B38" s="2446" t="s">
        <v>2159</v>
      </c>
      <c r="C38" s="710"/>
      <c r="D38" s="2447" t="s">
        <v>2160</v>
      </c>
      <c r="E38" s="1375"/>
      <c r="F38" s="2445"/>
      <c r="G38" s="129"/>
      <c r="H38" s="129"/>
      <c r="I38" s="129"/>
    </row>
    <row r="39" spans="1:15" ht="15">
      <c r="A39" s="2418" t="s">
        <v>2161</v>
      </c>
      <c r="B39" s="2448" t="s">
        <v>2162</v>
      </c>
      <c r="C39" s="2449" t="s">
        <v>2163</v>
      </c>
      <c r="D39" s="2449" t="s">
        <v>2164</v>
      </c>
      <c r="E39" s="2450" t="s">
        <v>2165</v>
      </c>
      <c r="F39" s="2445"/>
      <c r="G39" s="129"/>
      <c r="H39" s="129"/>
      <c r="I39" s="129"/>
    </row>
    <row r="40" spans="1:15" ht="14.25">
      <c r="A40" s="2451" t="s">
        <v>2166</v>
      </c>
      <c r="B40" s="149"/>
      <c r="C40" s="150"/>
      <c r="D40" s="150"/>
      <c r="E40" s="151"/>
      <c r="F40" s="2445"/>
      <c r="G40" s="129"/>
      <c r="H40" s="129"/>
      <c r="I40" s="129"/>
    </row>
    <row r="41" spans="1:15" ht="14.25">
      <c r="A41" s="2451" t="s">
        <v>2167</v>
      </c>
      <c r="B41" s="149"/>
      <c r="C41" s="150"/>
      <c r="D41" s="150"/>
      <c r="E41" s="151"/>
      <c r="F41" s="2445"/>
      <c r="G41" s="129"/>
      <c r="H41" s="129"/>
      <c r="I41" s="129"/>
    </row>
    <row r="42" spans="1:15" ht="15" thickBot="1">
      <c r="A42" s="2452"/>
      <c r="B42" s="152"/>
      <c r="C42" s="153"/>
      <c r="D42" s="153"/>
      <c r="E42" s="154"/>
      <c r="F42" s="2445"/>
      <c r="G42" s="129"/>
      <c r="H42" s="129"/>
      <c r="I42" s="129"/>
    </row>
    <row r="43" spans="1:15" ht="12.75">
      <c r="A43" s="2147"/>
      <c r="B43" s="2147"/>
      <c r="C43" s="2147"/>
      <c r="D43" s="2147"/>
      <c r="E43" s="2147"/>
      <c r="F43" s="2453"/>
      <c r="G43" s="2453"/>
      <c r="H43" s="2453"/>
      <c r="I43" s="2454"/>
    </row>
    <row r="44" spans="1:15" ht="18.75">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18" t="s">
        <v>2170</v>
      </c>
      <c r="B45" s="3119"/>
      <c r="C45" s="3120"/>
      <c r="D45" s="155">
        <f ca="1">ROUND(H101*F45,0)</f>
        <v>435</v>
      </c>
      <c r="E45" s="156" t="s">
        <v>2171</v>
      </c>
      <c r="F45" s="157">
        <v>1</v>
      </c>
      <c r="G45" s="158" t="s">
        <v>2172</v>
      </c>
      <c r="H45" s="129"/>
      <c r="I45" s="129"/>
      <c r="J45" s="3121" t="s">
        <v>2173</v>
      </c>
      <c r="K45" s="3121"/>
      <c r="L45" s="3121"/>
      <c r="M45" s="3121"/>
      <c r="N45" s="3121"/>
      <c r="O45" s="3121"/>
    </row>
    <row r="46" spans="1:15" ht="14.25" customHeight="1">
      <c r="A46" s="3122" t="s">
        <v>2174</v>
      </c>
      <c r="B46" s="3123"/>
      <c r="C46" s="3123"/>
      <c r="D46" s="3123"/>
      <c r="E46" s="3123"/>
      <c r="F46" s="3123"/>
      <c r="G46" s="3124"/>
      <c r="H46" s="2461"/>
      <c r="I46" s="159"/>
      <c r="J46" s="1792">
        <v>1</v>
      </c>
      <c r="K46" s="3121" t="s">
        <v>2175</v>
      </c>
      <c r="L46" s="3121"/>
      <c r="M46" s="3125"/>
      <c r="N46" s="3125"/>
      <c r="O46" s="3125"/>
    </row>
    <row r="47" spans="1:15" ht="12" customHeight="1">
      <c r="A47" s="160" t="s">
        <v>2176</v>
      </c>
      <c r="B47" s="161"/>
      <c r="C47" s="162"/>
      <c r="D47" s="163" t="s">
        <v>2177</v>
      </c>
      <c r="E47" s="24" t="s">
        <v>2178</v>
      </c>
      <c r="F47" s="164" t="s">
        <v>2179</v>
      </c>
      <c r="G47" s="165" t="s">
        <v>2180</v>
      </c>
      <c r="H47" s="2461"/>
      <c r="I47" s="159"/>
      <c r="J47" s="1792">
        <v>2</v>
      </c>
      <c r="K47" s="3121" t="s">
        <v>2181</v>
      </c>
      <c r="L47" s="3121"/>
      <c r="M47" s="3126">
        <f>'数据-取费表'!B2</f>
        <v>43886</v>
      </c>
      <c r="N47" s="3126"/>
      <c r="O47" s="3126"/>
    </row>
    <row r="48" spans="1:15" ht="25.5">
      <c r="A48" s="3127" t="s">
        <v>2182</v>
      </c>
      <c r="B48" s="3128"/>
      <c r="C48" s="3128"/>
      <c r="D48" s="131">
        <f>IF(H48="情况1",0,IF(H48="情况2",D52,IF(H48="情况3",D53,IF(H48="情况4",D54))))</f>
        <v>0</v>
      </c>
      <c r="E48" s="1781" t="str">
        <f>IF(H48="情况4","(销售额-原购置价)×税（费）率","销售额×税（费）率")</f>
        <v>销售额×税（费）率</v>
      </c>
      <c r="F48" s="166" t="str">
        <f>IF(H48="情况1","免征",'数据-取费表'!B41)</f>
        <v>免征</v>
      </c>
      <c r="G48" s="2462" t="s">
        <v>2183</v>
      </c>
      <c r="H48" s="2463" t="s">
        <v>2184</v>
      </c>
      <c r="I48" s="2461"/>
      <c r="J48" s="1792">
        <v>3</v>
      </c>
      <c r="K48" s="3121" t="s">
        <v>2185</v>
      </c>
      <c r="L48" s="3121"/>
      <c r="M48" s="3129">
        <f ca="1">H101</f>
        <v>435</v>
      </c>
      <c r="N48" s="3129"/>
      <c r="O48" s="3129"/>
    </row>
    <row r="49" spans="1:35" ht="25.5" customHeight="1">
      <c r="A49" s="167" t="s">
        <v>2186</v>
      </c>
      <c r="B49" s="3130" t="s">
        <v>2187</v>
      </c>
      <c r="C49" s="3130"/>
      <c r="D49" s="168">
        <v>0</v>
      </c>
      <c r="E49" s="23" t="s">
        <v>2188</v>
      </c>
      <c r="F49" s="28" t="s">
        <v>34</v>
      </c>
      <c r="G49" s="3131"/>
      <c r="H49" s="129"/>
      <c r="I49" s="2464"/>
      <c r="J49" s="1792">
        <v>4</v>
      </c>
      <c r="K49" s="3121" t="str">
        <f>IF(项目基本情况!E8="房地产抵押价值","房地产抵押价值","抵押担保权已注销时的房地产抵押价值")</f>
        <v>房地产抵押价值</v>
      </c>
      <c r="L49" s="3121"/>
      <c r="M49" s="3129">
        <f ca="1">IF(项目基本情况!E8="房地产抵押价值",H107,H109)</f>
        <v>435</v>
      </c>
      <c r="N49" s="3129"/>
      <c r="O49" s="3129"/>
    </row>
    <row r="50" spans="1:35" ht="25.5" customHeight="1">
      <c r="A50" s="169"/>
      <c r="B50" s="3130" t="s">
        <v>2189</v>
      </c>
      <c r="C50" s="3130"/>
      <c r="D50" s="170"/>
      <c r="E50" s="31"/>
      <c r="F50" s="171"/>
      <c r="G50" s="3132"/>
      <c r="H50" s="129"/>
      <c r="I50" s="2464"/>
      <c r="J50" s="3121" t="s">
        <v>2190</v>
      </c>
      <c r="K50" s="3121"/>
      <c r="L50" s="3121"/>
      <c r="M50" s="3121"/>
      <c r="N50" s="3121"/>
      <c r="O50" s="3121"/>
    </row>
    <row r="51" spans="1:35" ht="12" customHeight="1">
      <c r="A51" s="172"/>
      <c r="B51" s="3130" t="s">
        <v>2191</v>
      </c>
      <c r="C51" s="3130"/>
      <c r="D51" s="173"/>
      <c r="E51" s="30"/>
      <c r="F51" s="171"/>
      <c r="G51" s="3133"/>
      <c r="H51" s="129"/>
      <c r="I51" s="2464"/>
      <c r="J51" s="2465" t="s">
        <v>2192</v>
      </c>
      <c r="K51" s="3121" t="s">
        <v>2193</v>
      </c>
      <c r="L51" s="3121"/>
      <c r="M51" s="2465" t="s">
        <v>2194</v>
      </c>
      <c r="N51" s="2465" t="s">
        <v>2195</v>
      </c>
      <c r="O51" s="2465" t="s">
        <v>2196</v>
      </c>
    </row>
    <row r="52" spans="1:35" ht="24" customHeight="1">
      <c r="A52" s="174" t="s">
        <v>2197</v>
      </c>
      <c r="B52" s="3130" t="s">
        <v>2198</v>
      </c>
      <c r="C52" s="3130"/>
      <c r="D52" s="173">
        <f ca="1">ROUND(D45*'数据-取费表'!B41/(1+'数据-取费表'!C42),0)</f>
        <v>23</v>
      </c>
      <c r="E52" s="11" t="s">
        <v>2199</v>
      </c>
      <c r="F52" s="175">
        <f>'数据-取费表'!B41</f>
        <v>5.6000000000000001E-2</v>
      </c>
      <c r="G52" s="2466"/>
      <c r="H52" s="129"/>
      <c r="I52" s="2464"/>
      <c r="J52" s="1792">
        <v>1</v>
      </c>
      <c r="K52" s="3136" t="s">
        <v>2200</v>
      </c>
      <c r="L52" s="3136"/>
      <c r="M52" s="1734">
        <f>D48</f>
        <v>0</v>
      </c>
      <c r="N52" s="1792" t="str">
        <f>E48</f>
        <v>销售额×税（费）率</v>
      </c>
      <c r="O52" s="1735" t="str">
        <f>F48</f>
        <v>免征</v>
      </c>
    </row>
    <row r="53" spans="1:35" ht="12" customHeight="1">
      <c r="A53" s="174" t="s">
        <v>2201</v>
      </c>
      <c r="B53" s="3134" t="s">
        <v>2202</v>
      </c>
      <c r="C53" s="3135"/>
      <c r="D53" s="173">
        <f ca="1">ROUND(D45*'数据-取费表'!B41/(1+'数据-取费表'!C42),0)</f>
        <v>23</v>
      </c>
      <c r="E53" s="11" t="s">
        <v>2199</v>
      </c>
      <c r="F53" s="175">
        <f>'数据-取费表'!B41</f>
        <v>5.6000000000000001E-2</v>
      </c>
      <c r="G53" s="2466"/>
      <c r="H53" s="129"/>
      <c r="I53" s="2464"/>
      <c r="J53" s="1792">
        <v>2</v>
      </c>
      <c r="K53" s="3136" t="s">
        <v>2203</v>
      </c>
      <c r="L53" s="3136"/>
      <c r="M53" s="1734">
        <f t="shared" ref="M53:O54" ca="1" si="0">D55</f>
        <v>0</v>
      </c>
      <c r="N53" s="1792" t="str">
        <f t="shared" si="0"/>
        <v>销售额×税（费）率</v>
      </c>
      <c r="O53" s="1735">
        <f t="shared" si="0"/>
        <v>5.0000000000000001E-4</v>
      </c>
    </row>
    <row r="54" spans="1:35" ht="12" customHeight="1">
      <c r="A54" s="174" t="s">
        <v>2204</v>
      </c>
      <c r="B54" s="3134" t="s">
        <v>2205</v>
      </c>
      <c r="C54" s="3135"/>
      <c r="D54" s="173">
        <f ca="1">C68</f>
        <v>23</v>
      </c>
      <c r="E54" s="30" t="s">
        <v>2206</v>
      </c>
      <c r="F54" s="175">
        <f>'数据-取费表'!B41</f>
        <v>5.6000000000000001E-2</v>
      </c>
      <c r="G54" s="2466"/>
      <c r="H54" s="2467"/>
      <c r="I54" s="2464"/>
      <c r="J54" s="1792">
        <v>3</v>
      </c>
      <c r="K54" s="3136" t="s">
        <v>2207</v>
      </c>
      <c r="L54" s="3136"/>
      <c r="M54" s="1734">
        <f t="shared" ca="1" si="0"/>
        <v>247</v>
      </c>
      <c r="N54" s="1792" t="str">
        <f t="shared" si="0"/>
        <v>增值额×税（费）率</v>
      </c>
      <c r="O54" s="1736" t="str">
        <f t="shared" si="0"/>
        <v>——</v>
      </c>
    </row>
    <row r="55" spans="1:35" ht="24" customHeight="1">
      <c r="A55" s="3137" t="s">
        <v>2208</v>
      </c>
      <c r="B55" s="3128"/>
      <c r="C55" s="3128"/>
      <c r="D55" s="176">
        <f ca="1">IF(H55="个人住宅",0,ROUND(D45*I55,0))</f>
        <v>0</v>
      </c>
      <c r="E55" s="11" t="s">
        <v>2209</v>
      </c>
      <c r="F55" s="175">
        <f>IF(H55="正常",I55,"免征")</f>
        <v>5.0000000000000001E-4</v>
      </c>
      <c r="G55" s="2466"/>
      <c r="H55" s="2463" t="s">
        <v>2210</v>
      </c>
      <c r="I55" s="177">
        <f>'数据-取费表'!B49</f>
        <v>5.0000000000000001E-4</v>
      </c>
      <c r="J55" s="1792" t="str">
        <f>IF(H59="非个人房产","",4)</f>
        <v/>
      </c>
      <c r="K55" s="3136" t="str">
        <f>IF(H59="非个人房产","——","个人所得税")</f>
        <v>——</v>
      </c>
      <c r="L55" s="3136"/>
      <c r="M55" s="1737" t="str">
        <f>D59</f>
        <v>——</v>
      </c>
      <c r="N55" s="1790" t="str">
        <f>E59</f>
        <v>——</v>
      </c>
      <c r="O55" s="1738" t="str">
        <f>F59</f>
        <v>——</v>
      </c>
    </row>
    <row r="56" spans="1:35" ht="24.75">
      <c r="A56" s="3137" t="s">
        <v>2211</v>
      </c>
      <c r="B56" s="3128"/>
      <c r="C56" s="3128"/>
      <c r="D56" s="176">
        <f ca="1">IF(H56="个人住宅",D57,D58)</f>
        <v>247</v>
      </c>
      <c r="E56" s="11" t="s">
        <v>2212</v>
      </c>
      <c r="F56" s="175" t="str">
        <f>IF(H56="正常",F58,"免征")</f>
        <v>——</v>
      </c>
      <c r="G56" s="2468" t="s">
        <v>2213</v>
      </c>
      <c r="H56" s="2469" t="s">
        <v>2210</v>
      </c>
      <c r="I56" s="2470"/>
      <c r="J56" s="1792" t="str">
        <f>IF(项目基本情况!K6="上海银行",IF(J55="",4,J55+1),"")</f>
        <v/>
      </c>
      <c r="K56" s="3138" t="str">
        <f>IF(项目基本情况!K6="上海银行","其他处置费用","")</f>
        <v/>
      </c>
      <c r="L56" s="3139"/>
      <c r="M56" s="1734" t="str">
        <f>IF(项目基本情况!K6="上海银行",M69,"")</f>
        <v/>
      </c>
      <c r="N56" s="3146" t="str">
        <f>IF(项目基本情况!K6="上海银行","包含处置中涉及的律师、诉讼、拍卖、评估等费用","")</f>
        <v/>
      </c>
      <c r="O56" s="3147"/>
    </row>
    <row r="57" spans="1:35" ht="12.75">
      <c r="A57" s="174" t="s">
        <v>2186</v>
      </c>
      <c r="B57" s="3109" t="s">
        <v>2214</v>
      </c>
      <c r="C57" s="3111"/>
      <c r="D57" s="178">
        <v>0</v>
      </c>
      <c r="E57" s="23" t="s">
        <v>2188</v>
      </c>
      <c r="F57" s="146"/>
      <c r="G57" s="2466"/>
      <c r="H57" s="2470"/>
      <c r="I57" s="2470"/>
      <c r="J57" s="3136">
        <f>IF(AND(J55="",J56=""),4,IF(项目基本情况!K6="上海银行",结果表!J56+1,结果表!J55+1))</f>
        <v>4</v>
      </c>
      <c r="K57" s="3136" t="s">
        <v>2215</v>
      </c>
      <c r="L57" s="2471" t="s">
        <v>2216</v>
      </c>
      <c r="M57" s="1739"/>
      <c r="N57" s="1740">
        <f ca="1">SUMIF(M52:M56,"&lt;9e307")</f>
        <v>247</v>
      </c>
      <c r="O57" s="2472"/>
      <c r="P57" s="1733">
        <f ca="1">N57/M49</f>
        <v>0.56781609195402294</v>
      </c>
    </row>
    <row r="58" spans="1:35" ht="24.75">
      <c r="A58" s="174" t="s">
        <v>2197</v>
      </c>
      <c r="B58" s="3109" t="s">
        <v>2217</v>
      </c>
      <c r="C58" s="3110"/>
      <c r="D58" s="176">
        <f ca="1">IF(H58="转让取得",C81,C97)</f>
        <v>247</v>
      </c>
      <c r="E58" s="11" t="s">
        <v>2212</v>
      </c>
      <c r="F58" s="24" t="s">
        <v>34</v>
      </c>
      <c r="G58" s="2466"/>
      <c r="H58" s="2469" t="s">
        <v>2218</v>
      </c>
      <c r="I58" s="2470"/>
      <c r="J58" s="3136"/>
      <c r="K58" s="3136"/>
      <c r="L58" s="2471" t="s">
        <v>2219</v>
      </c>
      <c r="M58" s="1741"/>
      <c r="N58" s="2473" t="str">
        <f ca="1">NUMBERSTRING(INT(N57*10000),2)&amp;"元整"</f>
        <v>贰佰肆拾柒万元整</v>
      </c>
      <c r="O58" s="2474"/>
    </row>
    <row r="59" spans="1:35" ht="24.75" thickBot="1">
      <c r="A59" s="3148" t="s">
        <v>2220</v>
      </c>
      <c r="B59" s="3149"/>
      <c r="C59" s="3149"/>
      <c r="D59" s="179" t="str">
        <f>IF(H59="非个人房产","——",IF(H59="个人住宅",0,ROUND(D45*I59,0)))</f>
        <v>——</v>
      </c>
      <c r="E59" s="180" t="str">
        <f>IF(H59="非个人房产","——","销售额×税（费）率")</f>
        <v>——</v>
      </c>
      <c r="F59" s="181" t="str">
        <f>IF(H59="非个人房产","——",IF(H59="个人住宅","免征",I59))</f>
        <v>——</v>
      </c>
      <c r="G59" s="2475" t="s">
        <v>2213</v>
      </c>
      <c r="H59" s="2469" t="s">
        <v>2221</v>
      </c>
      <c r="I59" s="182">
        <v>0.01</v>
      </c>
      <c r="J59" s="3150">
        <f>J57+1</f>
        <v>5</v>
      </c>
      <c r="K59" s="3136" t="s">
        <v>2222</v>
      </c>
      <c r="L59" s="1792" t="s">
        <v>2216</v>
      </c>
      <c r="M59" s="1742"/>
      <c r="N59" s="1743">
        <f ca="1">M49-N57</f>
        <v>188</v>
      </c>
      <c r="O59" s="2476"/>
    </row>
    <row r="60" spans="1:35" ht="12" customHeight="1">
      <c r="A60" s="2477"/>
      <c r="B60" s="2399"/>
      <c r="C60" s="2399"/>
      <c r="D60" s="2399"/>
      <c r="E60" s="2148"/>
      <c r="F60" s="2470"/>
      <c r="G60" s="2470"/>
      <c r="H60" s="2478"/>
      <c r="I60" s="129"/>
      <c r="J60" s="3151"/>
      <c r="K60" s="3136"/>
      <c r="L60" s="2471" t="s">
        <v>2219</v>
      </c>
      <c r="M60" s="1741"/>
      <c r="N60" s="2473" t="str">
        <f ca="1">NUMBERSTRING(INT(N59*10000),2)&amp;"元整"</f>
        <v>壹佰捌拾捌万元整</v>
      </c>
      <c r="O60" s="2474"/>
    </row>
    <row r="61" spans="1:35" ht="13.5" thickBot="1">
      <c r="A61" s="3140" t="s">
        <v>2223</v>
      </c>
      <c r="B61" s="3140"/>
      <c r="C61" s="3140"/>
      <c r="D61" s="3140"/>
      <c r="E61" s="3140"/>
      <c r="F61" s="2470"/>
      <c r="G61" s="2470"/>
      <c r="H61" s="2478"/>
      <c r="I61" s="129"/>
      <c r="J61" s="1792">
        <f>J59+1</f>
        <v>6</v>
      </c>
      <c r="K61" s="3136" t="s">
        <v>2224</v>
      </c>
      <c r="L61" s="3136"/>
      <c r="M61" s="1744"/>
      <c r="N61" s="1745">
        <f ca="1">ROUND(N59*10000/'数据-汇总表'!E3,0)</f>
        <v>1484</v>
      </c>
      <c r="O61" s="2479"/>
    </row>
    <row r="62" spans="1:35" ht="12.75">
      <c r="A62" s="3141" t="s">
        <v>2225</v>
      </c>
      <c r="B62" s="3142"/>
      <c r="C62" s="1784"/>
      <c r="D62" s="1784" t="s">
        <v>2226</v>
      </c>
      <c r="E62" s="183" t="s">
        <v>2227</v>
      </c>
      <c r="F62" s="2470"/>
      <c r="G62" s="2470"/>
      <c r="H62" s="2478"/>
      <c r="I62" s="129"/>
    </row>
    <row r="63" spans="1:35" ht="12.75">
      <c r="A63" s="194" t="s">
        <v>775</v>
      </c>
      <c r="B63" s="184" t="s">
        <v>2228</v>
      </c>
      <c r="C63" s="185">
        <f ca="1">ROUND((C64+C65)/(1+'数据-取费表'!C42),0)</f>
        <v>414</v>
      </c>
      <c r="D63" s="186"/>
      <c r="E63" s="187"/>
      <c r="F63" s="2470"/>
      <c r="G63" s="2470"/>
      <c r="H63" s="2478"/>
      <c r="I63" s="129"/>
      <c r="J63" s="3143" t="s">
        <v>2229</v>
      </c>
      <c r="K63" s="2480" t="s">
        <v>2230</v>
      </c>
      <c r="L63" s="1732">
        <f ca="1">IF(M49&gt;10000,M49*0.5%,IF(AND(M49&gt;1000,M49&lt;=10000),M49*1%,IF(AND(M49&gt;100,M49&lt;=1000),M49*3%,IF(AND(M49&gt;10,M49&lt;=100),M49*5%,M49*8%))))</f>
        <v>13.049999999999999</v>
      </c>
      <c r="M63" s="24">
        <f ca="1">ROUND(L63,1)</f>
        <v>13.1</v>
      </c>
      <c r="Z63" s="2404"/>
      <c r="AI63" s="2405"/>
    </row>
    <row r="64" spans="1:35" ht="14.25" customHeight="1">
      <c r="A64" s="188" t="s">
        <v>770</v>
      </c>
      <c r="B64" s="189" t="s">
        <v>2231</v>
      </c>
      <c r="C64" s="190">
        <f ca="1">D45</f>
        <v>435</v>
      </c>
      <c r="D64" s="191" t="s">
        <v>32</v>
      </c>
      <c r="E64" s="192"/>
      <c r="F64" s="2470"/>
      <c r="G64" s="2470"/>
      <c r="H64" s="2478"/>
      <c r="I64" s="129"/>
      <c r="J64" s="3143"/>
      <c r="K64" s="2480" t="s">
        <v>2232</v>
      </c>
      <c r="L64" s="1732">
        <f ca="1">IF(M49&gt;2000,M49*0.5%,IF(AND(M49&gt;1000,M49&lt;=2000),M49*0.6%,IF(AND(M49&gt;500,M49&lt;=1000),M49*0.7%,IF(AND(M49&gt;200,M49&lt;=500),M49*0.8%,IF(AND(M49&gt;100,M49&lt;=200),M49*0.9%,IF(AND(M49&gt;50,M49&lt;=100),M49*1%,IF(AND(M49&gt;20,M49&lt;=50),M49*1.5%,IF(AND(M49&gt;10,M49&lt;=20),M49*2%,IF(AND(M49&gt;1,M49&lt;=10),M49*2.5%)))))))))</f>
        <v>3.48</v>
      </c>
      <c r="M64" s="24">
        <f t="shared" ref="M64:M65" ca="1" si="1">ROUND(L64,1)</f>
        <v>3.5</v>
      </c>
      <c r="N64" s="129" t="s">
        <v>2233</v>
      </c>
      <c r="Z64" s="2404"/>
      <c r="AI64" s="2405"/>
    </row>
    <row r="65" spans="1:35" ht="14.25" customHeight="1">
      <c r="A65" s="188" t="s">
        <v>771</v>
      </c>
      <c r="B65" s="189" t="s">
        <v>2234</v>
      </c>
      <c r="C65" s="193"/>
      <c r="D65" s="191"/>
      <c r="E65" s="192"/>
      <c r="F65" s="2470"/>
      <c r="G65" s="2470"/>
      <c r="H65" s="2478"/>
      <c r="I65" s="129"/>
      <c r="J65" s="3143"/>
      <c r="K65" s="2480" t="s">
        <v>2235</v>
      </c>
      <c r="L65" s="1732">
        <f ca="1">IF(M49&gt;1000,M49*0.1%,IF(AND(M49&gt;500,M49&lt;=1000),M49*0.5%,IF(AND(M49&gt;50,M49&lt;=500),M49*1%,IF(AND(M49&gt;1,M49&lt;=50),M49*1.5%))))</f>
        <v>4.3500000000000005</v>
      </c>
      <c r="M65" s="24">
        <f t="shared" ca="1" si="1"/>
        <v>4.4000000000000004</v>
      </c>
      <c r="N65" s="129" t="s">
        <v>2233</v>
      </c>
      <c r="Z65" s="2404"/>
      <c r="AI65" s="2405"/>
    </row>
    <row r="66" spans="1:35" ht="14.25" customHeight="1">
      <c r="A66" s="194" t="s">
        <v>772</v>
      </c>
      <c r="B66" s="195" t="s">
        <v>2236</v>
      </c>
      <c r="C66" s="196"/>
      <c r="D66" s="197" t="s">
        <v>32</v>
      </c>
      <c r="E66" s="1756" t="s">
        <v>1366</v>
      </c>
      <c r="F66" s="2470"/>
      <c r="G66" s="2470"/>
      <c r="H66" s="2478"/>
      <c r="I66" s="129"/>
      <c r="J66" s="3143"/>
      <c r="K66" s="2480" t="s">
        <v>2237</v>
      </c>
      <c r="L66" s="1732">
        <f ca="1">M49*0.5%</f>
        <v>2.1750000000000003</v>
      </c>
      <c r="M66" s="24">
        <f ca="1">IF(L66&gt;0.5,0.5,ROUND(L66,0))</f>
        <v>0.5</v>
      </c>
      <c r="N66" s="129" t="s">
        <v>2238</v>
      </c>
      <c r="Z66" s="2404"/>
      <c r="AI66" s="2405"/>
    </row>
    <row r="67" spans="1:35" ht="14.25" customHeight="1">
      <c r="A67" s="194" t="s">
        <v>773</v>
      </c>
      <c r="B67" s="195" t="s">
        <v>2239</v>
      </c>
      <c r="C67" s="198">
        <f ca="1">C63-C66</f>
        <v>414</v>
      </c>
      <c r="D67" s="191" t="s">
        <v>32</v>
      </c>
      <c r="E67" s="192"/>
      <c r="F67" s="2470"/>
      <c r="G67" s="2470"/>
      <c r="H67" s="2478"/>
      <c r="I67" s="129"/>
      <c r="J67" s="3143"/>
      <c r="K67" s="2480" t="s">
        <v>2240</v>
      </c>
      <c r="L67" s="1732">
        <f ca="1">IF(M49&gt;=10000,(8.25+(M49-10000)*0.01%),IF(AND(M49&gt;=8000,M49&lt;10000),(7.85+(M49-8000)*0.02%),IF(AND(M49&gt;=5000,M49&lt;8000),(6.65+(M49-5000)*0.04%),IF(AND(M49&gt;=2000,M49&lt;5000),(4.25+(PM49-2000)*0.08%),IF(AND(M49&gt;=1000,M49&lt;2000),(2.75+(M49-1000)*0.15%),IF(AND(M49&gt;=100,M49&lt;1000),(0.5+(M49-100)*0.25%),IF(AND(M49&gt;0,M49&lt;100),M49*0.5%)))))))</f>
        <v>1.3374999999999999</v>
      </c>
      <c r="M67" s="24">
        <f ca="1">ROUND(L67*0.9,1)</f>
        <v>1.2</v>
      </c>
      <c r="Z67" s="2404"/>
      <c r="AI67" s="2405"/>
    </row>
    <row r="68" spans="1:35" ht="14.25" customHeight="1" thickBot="1">
      <c r="A68" s="199" t="s">
        <v>774</v>
      </c>
      <c r="B68" s="200" t="s">
        <v>2241</v>
      </c>
      <c r="C68" s="201">
        <f ca="1">IF(C67&lt;=0,0,ROUND(C67*D68,0))</f>
        <v>23</v>
      </c>
      <c r="D68" s="202">
        <f>'数据-取费表'!B41</f>
        <v>5.6000000000000001E-2</v>
      </c>
      <c r="E68" s="203"/>
      <c r="F68" s="2470"/>
      <c r="G68" s="2470"/>
      <c r="H68" s="2478"/>
      <c r="I68" s="129"/>
      <c r="J68" s="3143"/>
      <c r="K68" s="2480" t="s">
        <v>2242</v>
      </c>
      <c r="L68" s="1732">
        <f ca="1">IF(M49&gt;10000,M49*0.5%,IF(AND(M49&gt;5000,M49&lt;=10000),M49*1%,IF(AND(M49&gt;1000,M49&lt;=5000),M49*2%,IF(AND(M49&gt;200,M49&lt;=1000),M49*3%,M49*5%))))</f>
        <v>13.049999999999999</v>
      </c>
      <c r="M68" s="24">
        <f ca="1">ROUND(L68,1)</f>
        <v>13.1</v>
      </c>
      <c r="Z68" s="2404"/>
      <c r="AI68" s="2405"/>
    </row>
    <row r="69" spans="1:35" s="2427" customFormat="1" ht="16.5" customHeight="1">
      <c r="A69" s="2481"/>
      <c r="B69" s="2482"/>
      <c r="C69" s="2483"/>
      <c r="D69" s="2484"/>
      <c r="E69" s="2485"/>
      <c r="F69" s="2148"/>
      <c r="G69" s="2148"/>
      <c r="H69" s="2147"/>
      <c r="I69" s="2399"/>
      <c r="J69" s="3143"/>
      <c r="K69" s="2480" t="s">
        <v>2243</v>
      </c>
      <c r="L69" s="2486"/>
      <c r="M69" s="24">
        <f ca="1">ROUND(SUM(M63:M68),0)</f>
        <v>36</v>
      </c>
      <c r="N69" s="1733">
        <f ca="1">M69/M49</f>
        <v>8.2758620689655171E-2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5" thickBot="1">
      <c r="A70" s="3144" t="s">
        <v>2244</v>
      </c>
      <c r="B70" s="3145"/>
      <c r="C70" s="3145"/>
      <c r="D70" s="3145"/>
      <c r="E70" s="3145"/>
      <c r="F70" s="3145"/>
      <c r="G70" s="3145"/>
      <c r="H70" s="3145"/>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41" t="s">
        <v>2225</v>
      </c>
      <c r="B71" s="3142"/>
      <c r="C71" s="1784"/>
      <c r="D71" s="1784"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194" t="s">
        <v>775</v>
      </c>
      <c r="B72" s="195" t="s">
        <v>2245</v>
      </c>
      <c r="C72" s="198">
        <f ca="1">ROUND(D45/(1+'数据-取费表'!C42),0)</f>
        <v>414</v>
      </c>
      <c r="D72" s="191" t="s">
        <v>32</v>
      </c>
      <c r="E72" s="1783"/>
      <c r="F72" s="1777"/>
      <c r="G72" s="1777"/>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194" t="s">
        <v>772</v>
      </c>
      <c r="B73" s="164" t="s">
        <v>2246</v>
      </c>
      <c r="C73" s="198">
        <f ca="1">C74+C78</f>
        <v>2</v>
      </c>
      <c r="D73" s="191" t="s">
        <v>32</v>
      </c>
      <c r="E73" s="1783"/>
      <c r="F73" s="1777"/>
      <c r="G73" s="1777"/>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0</v>
      </c>
      <c r="D74" s="191" t="s">
        <v>32</v>
      </c>
      <c r="E74" s="1783"/>
      <c r="F74" s="1777"/>
      <c r="G74" s="1777"/>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08" t="s">
        <v>776</v>
      </c>
      <c r="B75" s="189" t="s">
        <v>2248</v>
      </c>
      <c r="C75" s="209"/>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34" t="s">
        <v>2253</v>
      </c>
      <c r="F76" s="3130"/>
      <c r="G76" s="3130"/>
      <c r="H76" s="3166"/>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0</v>
      </c>
      <c r="D77" s="214">
        <f>'数据-取费表'!B48+'数据-取费表'!B49</f>
        <v>3.0499999999999999E-2</v>
      </c>
      <c r="E77" s="15" t="s">
        <v>2255</v>
      </c>
      <c r="F77" s="215"/>
      <c r="G77" s="2494" t="s">
        <v>2256</v>
      </c>
      <c r="H77" s="1788"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2</v>
      </c>
      <c r="D78" s="217">
        <f>'数据-取费表'!B43</f>
        <v>6.000000000000001E-3</v>
      </c>
      <c r="E78" s="3152" t="s">
        <v>2258</v>
      </c>
      <c r="F78" s="3153"/>
      <c r="G78" s="3153"/>
      <c r="H78" s="3154"/>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779</v>
      </c>
      <c r="B79" s="195" t="s">
        <v>2259</v>
      </c>
      <c r="C79" s="198">
        <f ca="1">C72-C73</f>
        <v>412</v>
      </c>
      <c r="D79" s="191" t="s">
        <v>32</v>
      </c>
      <c r="E79" s="1783"/>
      <c r="F79" s="1777"/>
      <c r="G79" s="1777"/>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206</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0" t="s">
        <v>2261</v>
      </c>
      <c r="C81" s="219">
        <f ca="1">ROUND(IF(C79&lt;=0,0,IF(C80&gt;=200%,C79*60%-C73*35%,IF(C80&gt;=100%,C79*50%-C73*15%,IF(C80&gt;=50%,C79*40%-C73*5%,IF(C80&lt;50%,C79*30%,0))))),0)</f>
        <v>247</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44" t="s">
        <v>2262</v>
      </c>
      <c r="B83" s="3145"/>
      <c r="C83" s="3145"/>
      <c r="D83" s="3145"/>
      <c r="E83" s="3145"/>
      <c r="F83" s="3145"/>
      <c r="G83" s="3145"/>
      <c r="H83" s="3145"/>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41" t="s">
        <v>2225</v>
      </c>
      <c r="B84" s="3142"/>
      <c r="C84" s="1784"/>
      <c r="D84" s="1784"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194" t="s">
        <v>775</v>
      </c>
      <c r="B85" s="195" t="s">
        <v>2245</v>
      </c>
      <c r="C85" s="198">
        <f ca="1">ROUND(D45/(1+'数据-取费表'!C42),0)</f>
        <v>414</v>
      </c>
      <c r="D85" s="191" t="s">
        <v>32</v>
      </c>
      <c r="E85" s="1783"/>
      <c r="F85" s="1777"/>
      <c r="G85" s="1777"/>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194" t="s">
        <v>772</v>
      </c>
      <c r="B86" s="164" t="s">
        <v>2246</v>
      </c>
      <c r="C86" s="198">
        <f ca="1">IF(H88="仅含出让金",C87+C90+C91+C92+C93+C94,C87+C91+C92+C93+C94)</f>
        <v>2</v>
      </c>
      <c r="D86" s="226"/>
      <c r="E86" s="1783"/>
      <c r="F86" s="1777"/>
      <c r="G86" s="1777"/>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08" t="s">
        <v>770</v>
      </c>
      <c r="B87" s="189" t="s">
        <v>2263</v>
      </c>
      <c r="C87" s="216">
        <f>C88+C89</f>
        <v>0</v>
      </c>
      <c r="D87" s="217"/>
      <c r="E87" s="1779"/>
      <c r="F87" s="1780"/>
      <c r="G87" s="1780"/>
      <c r="H87" s="1782"/>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08" t="s">
        <v>776</v>
      </c>
      <c r="B88" s="189" t="s">
        <v>2264</v>
      </c>
      <c r="C88" s="227"/>
      <c r="D88" s="217"/>
      <c r="E88" s="228" t="s">
        <v>2265</v>
      </c>
      <c r="F88" s="1780"/>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08" t="s">
        <v>777</v>
      </c>
      <c r="B89" s="189" t="s">
        <v>2254</v>
      </c>
      <c r="C89" s="216">
        <f>ROUND(C88*D89,0)</f>
        <v>0</v>
      </c>
      <c r="D89" s="217">
        <f>'数据-取费表'!B48+'数据-取费表'!B49</f>
        <v>3.0499999999999999E-2</v>
      </c>
      <c r="E89" s="228" t="s">
        <v>2267</v>
      </c>
      <c r="F89" s="1780"/>
      <c r="G89" s="1780"/>
      <c r="H89" s="1782"/>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08" t="s">
        <v>771</v>
      </c>
      <c r="B90" s="189" t="s">
        <v>2268</v>
      </c>
      <c r="C90" s="227"/>
      <c r="D90" s="217"/>
      <c r="E90" s="228" t="str">
        <f>IF(H88="-","土地取得成本中已包含该笔费用"," ")</f>
        <v xml:space="preserve"> </v>
      </c>
      <c r="F90" s="1780"/>
      <c r="G90" s="1780"/>
      <c r="H90" s="1782"/>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52" t="s">
        <v>2271</v>
      </c>
      <c r="F91" s="3153"/>
      <c r="G91" s="3153"/>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52" t="s">
        <v>2275</v>
      </c>
      <c r="F92" s="3153"/>
      <c r="G92" s="3153"/>
      <c r="H92" s="3154"/>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2</v>
      </c>
      <c r="D93" s="217">
        <f>'数据-取费表'!B43</f>
        <v>6.000000000000001E-3</v>
      </c>
      <c r="E93" s="3152" t="s">
        <v>2258</v>
      </c>
      <c r="F93" s="3153"/>
      <c r="G93" s="3153"/>
      <c r="H93" s="3154"/>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55" t="s">
        <v>2279</v>
      </c>
      <c r="F94" s="3156"/>
      <c r="G94" s="3156"/>
      <c r="H94" s="3157"/>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779</v>
      </c>
      <c r="B95" s="195" t="s">
        <v>2259</v>
      </c>
      <c r="C95" s="198">
        <f ca="1">ROUND(C85-C86,0)</f>
        <v>412</v>
      </c>
      <c r="D95" s="191" t="s">
        <v>32</v>
      </c>
      <c r="E95" s="1783"/>
      <c r="F95" s="1777"/>
      <c r="G95" s="1777"/>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206</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0" t="s">
        <v>2261</v>
      </c>
      <c r="C97" s="219">
        <f ca="1">ROUND(IF(C95&lt;=0,0,IF(C96&gt;=200%,C95*60%-C86*35%,IF(C96&gt;=100%,C95*50%-C86*15%,IF(C96&gt;=50%,C95*40%-C86*5%,IF(C96&lt;50%,C95*30%,0))))),0)</f>
        <v>247</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58"/>
      <c r="E100" s="3095" t="s">
        <v>2282</v>
      </c>
      <c r="F100" s="3095"/>
      <c r="G100" s="3095"/>
      <c r="H100" s="3158"/>
      <c r="I100" s="129"/>
    </row>
    <row r="101" spans="1:35" ht="18.75" customHeight="1">
      <c r="A101" s="3159" t="s">
        <v>2283</v>
      </c>
      <c r="B101" s="3160"/>
      <c r="C101" s="719" t="str">
        <f>C4</f>
        <v>比较法-商业</v>
      </c>
      <c r="D101" s="720" t="str">
        <f>D4</f>
        <v>收益法 (元)</v>
      </c>
      <c r="E101" s="3161" t="s">
        <v>2284</v>
      </c>
      <c r="F101" s="3162"/>
      <c r="G101" s="2501" t="s">
        <v>2285</v>
      </c>
      <c r="H101" s="1028">
        <f ca="1">H118</f>
        <v>435</v>
      </c>
      <c r="I101" s="129"/>
    </row>
    <row r="102" spans="1:35" ht="18.75" customHeight="1">
      <c r="A102" s="3163" t="s">
        <v>2286</v>
      </c>
      <c r="B102" s="2501" t="s">
        <v>2285</v>
      </c>
      <c r="C102" s="719">
        <f ca="1">C19</f>
        <v>419</v>
      </c>
      <c r="D102" s="720">
        <f ca="1">D19</f>
        <v>450</v>
      </c>
      <c r="E102" s="3161"/>
      <c r="F102" s="3162"/>
      <c r="G102" s="2501" t="s">
        <v>2287</v>
      </c>
      <c r="H102" s="362">
        <f ca="1">I118</f>
        <v>3434</v>
      </c>
      <c r="I102" s="129"/>
    </row>
    <row r="103" spans="1:35" ht="42.75" customHeight="1">
      <c r="A103" s="3163"/>
      <c r="B103" s="2501" t="s">
        <v>2287</v>
      </c>
      <c r="C103" s="721">
        <f ca="1">C20</f>
        <v>33277</v>
      </c>
      <c r="D103" s="722">
        <f ca="1">D20</f>
        <v>35761</v>
      </c>
      <c r="E103" s="3164" t="s">
        <v>2288</v>
      </c>
      <c r="F103" s="3165"/>
      <c r="G103" s="2502" t="s">
        <v>2289</v>
      </c>
      <c r="H103" s="1028">
        <f>IF(D36="正常操作",H104+H105+H106,H105+H106)</f>
        <v>0</v>
      </c>
      <c r="I103" s="129"/>
    </row>
    <row r="104" spans="1:35" ht="18.75" customHeight="1">
      <c r="A104" s="3163" t="s">
        <v>2290</v>
      </c>
      <c r="B104" s="2503" t="s">
        <v>2285</v>
      </c>
      <c r="C104" s="723">
        <f ca="1">H118</f>
        <v>435</v>
      </c>
      <c r="D104" s="724"/>
      <c r="E104" s="2248" t="s">
        <v>2291</v>
      </c>
      <c r="F104" s="2240"/>
      <c r="G104" s="2502" t="s">
        <v>2289</v>
      </c>
      <c r="H104" s="1029">
        <f>IF(D36="同一抵押权人同一抵押物续贷",C36&amp;"（未扣减，详见特别提示）",C36)</f>
        <v>0</v>
      </c>
      <c r="I104" s="129"/>
    </row>
    <row r="105" spans="1:35" ht="18.75" customHeight="1" thickBot="1">
      <c r="A105" s="3172"/>
      <c r="B105" s="2504" t="s">
        <v>2287</v>
      </c>
      <c r="C105" s="725">
        <f ca="1">I118</f>
        <v>3434</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73" t="str">
        <f>IF(项目基本情况!E8="已注销","——","3.房地产抵押价值")</f>
        <v>3.房地产抵押价值</v>
      </c>
      <c r="F107" s="3162"/>
      <c r="G107" s="2501" t="s">
        <v>2285</v>
      </c>
      <c r="H107" s="1028">
        <f ca="1">IF(E107="——","——",H101-H103)</f>
        <v>435</v>
      </c>
      <c r="I107" s="129"/>
    </row>
    <row r="108" spans="1:35" ht="18.75" customHeight="1">
      <c r="A108" s="129"/>
      <c r="B108" s="129"/>
      <c r="C108" s="129"/>
      <c r="D108" s="129"/>
      <c r="E108" s="3173"/>
      <c r="F108" s="3162"/>
      <c r="G108" s="2501" t="s">
        <v>2287</v>
      </c>
      <c r="H108" s="362">
        <f ca="1">ROUND(H107*10000/'数据-汇总表'!E3,0)</f>
        <v>3434</v>
      </c>
      <c r="I108" s="129"/>
    </row>
    <row r="109" spans="1:35" ht="18.75" customHeight="1">
      <c r="A109" s="129"/>
      <c r="B109" s="129"/>
      <c r="C109" s="129"/>
      <c r="D109" s="129"/>
      <c r="E109" s="3173" t="str">
        <f>IF(项目基本情况!E8="已注销及未注销","4.抵押担保权已注销时的房地产抵押价值",IF(项目基本情况!E8="已注销","3.抵押担保权已注销时的房地产抵押价值","——"))</f>
        <v>——</v>
      </c>
      <c r="F109" s="3162"/>
      <c r="G109" s="2501" t="s">
        <v>2285</v>
      </c>
      <c r="H109" s="339" t="str">
        <f>IF(E109="——","——",H101-H105-H106)</f>
        <v>——</v>
      </c>
      <c r="I109" s="129"/>
    </row>
    <row r="110" spans="1:35" ht="18.75" customHeight="1">
      <c r="A110" s="129"/>
      <c r="B110" s="129"/>
      <c r="C110" s="129"/>
      <c r="D110" s="129"/>
      <c r="E110" s="3173"/>
      <c r="F110" s="3162"/>
      <c r="G110" s="2501" t="s">
        <v>2287</v>
      </c>
      <c r="H110" s="362" t="str">
        <f>IF(H109="——","——",ROUND(H109*10000/'数据-汇总表'!E3,0))</f>
        <v>——</v>
      </c>
      <c r="I110" s="129"/>
    </row>
    <row r="111" spans="1:35" ht="18.75" customHeight="1">
      <c r="A111" s="129"/>
      <c r="B111" s="129"/>
      <c r="C111" s="129"/>
      <c r="D111" s="129"/>
      <c r="E111" s="3174" t="str">
        <f>IF(项目基本情况!E9="抵押净值",IF(OR(项目基本情况!E8="已注销",项目基本情况!E8="房地产抵押价值"),"4.抵押净值","5.抵押净值"),"——")</f>
        <v>——</v>
      </c>
      <c r="F111" s="3175"/>
      <c r="G111" s="2501" t="s">
        <v>2285</v>
      </c>
      <c r="H111" s="1028" t="str">
        <f>IF(E111="——","——",N59)</f>
        <v>——</v>
      </c>
      <c r="I111" s="129"/>
    </row>
    <row r="112" spans="1:35" ht="18.75" customHeight="1" thickBot="1">
      <c r="A112" s="129"/>
      <c r="B112" s="129"/>
      <c r="C112" s="129"/>
      <c r="D112" s="129"/>
      <c r="E112" s="3176"/>
      <c r="F112" s="3177"/>
      <c r="G112" s="2506" t="s">
        <v>2287</v>
      </c>
      <c r="H112" s="773" t="str">
        <f>IF(E111="——","——",N61)</f>
        <v>——</v>
      </c>
      <c r="I112" s="129"/>
    </row>
    <row r="113" spans="1:11" ht="18.75" customHeight="1">
      <c r="A113" s="129"/>
      <c r="B113" s="129"/>
      <c r="C113" s="129"/>
      <c r="D113" s="129"/>
      <c r="E113" s="3178" t="s">
        <v>2293</v>
      </c>
      <c r="F113" s="3178"/>
      <c r="G113" s="3178"/>
      <c r="H113" s="3178"/>
      <c r="I113" s="129"/>
    </row>
    <row r="114" spans="1:11" ht="3.75" customHeight="1">
      <c r="A114" s="2399"/>
      <c r="B114" s="2399"/>
      <c r="C114" s="2399"/>
      <c r="D114" s="2399"/>
      <c r="E114" s="2477"/>
      <c r="F114" s="2477"/>
      <c r="G114" s="2477"/>
      <c r="H114" s="2477"/>
      <c r="I114" s="2399"/>
    </row>
    <row r="115" spans="1:11" ht="18.75" customHeight="1">
      <c r="A115" s="3179" t="s">
        <v>2295</v>
      </c>
      <c r="B115" s="3180"/>
      <c r="C115" s="3180"/>
      <c r="D115" s="3180"/>
      <c r="E115" s="3180"/>
      <c r="F115" s="3180"/>
      <c r="G115" s="3180"/>
      <c r="H115" s="3180"/>
      <c r="I115" s="3181"/>
    </row>
    <row r="116" spans="1:11" ht="27" customHeight="1">
      <c r="A116" s="3073" t="s">
        <v>2296</v>
      </c>
      <c r="B116" s="3167" t="s">
        <v>2297</v>
      </c>
      <c r="C116" s="3167" t="s">
        <v>2298</v>
      </c>
      <c r="D116" s="3169" t="s">
        <v>2299</v>
      </c>
      <c r="E116" s="3170"/>
      <c r="F116" s="3171" t="s">
        <v>2300</v>
      </c>
      <c r="G116" s="3171"/>
      <c r="H116" s="3073" t="s">
        <v>2301</v>
      </c>
      <c r="I116" s="3073"/>
    </row>
    <row r="117" spans="1:11" ht="18.75" customHeight="1">
      <c r="A117" s="3073"/>
      <c r="B117" s="3168"/>
      <c r="C117" s="3168"/>
      <c r="D117" s="1778" t="s">
        <v>2302</v>
      </c>
      <c r="E117" s="1778" t="s">
        <v>2303</v>
      </c>
      <c r="F117" s="1778" t="s">
        <v>2302</v>
      </c>
      <c r="G117" s="1778" t="s">
        <v>2304</v>
      </c>
      <c r="H117" s="1778" t="s">
        <v>2302</v>
      </c>
      <c r="I117" s="1778" t="s">
        <v>2304</v>
      </c>
    </row>
    <row r="118" spans="1:11" ht="24.75" customHeight="1">
      <c r="A118" s="2507" t="str">
        <f>项目基本情况!S2</f>
        <v>北京市房地产</v>
      </c>
      <c r="B118" s="1778">
        <f>M18</f>
        <v>1266.6499999999999</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435</v>
      </c>
      <c r="I118" s="1778">
        <f ca="1">ROUND(IF(D32="楼面单价",C32,H118*10000/B118),0)</f>
        <v>3434</v>
      </c>
    </row>
    <row r="119" spans="1:11" ht="18.75" customHeight="1">
      <c r="A119" s="3073" t="s">
        <v>2305</v>
      </c>
      <c r="B119" s="3073"/>
      <c r="C119" s="3073"/>
      <c r="D119" s="3185" t="e">
        <f ca="1">NUMBERSTRING(INT(D118*10000),2)&amp;"元整"</f>
        <v>#REF!</v>
      </c>
      <c r="E119" s="3187"/>
      <c r="F119" s="3185" t="e">
        <f ca="1">NUMBERSTRING(INT(F118*10000),2)&amp;"元整"</f>
        <v>#REF!</v>
      </c>
      <c r="G119" s="3187"/>
      <c r="H119" s="3185" t="str">
        <f ca="1">NUMBERSTRING(INT(H118*10000),2)&amp;"元整"</f>
        <v>肆佰叁拾伍万元整</v>
      </c>
      <c r="I119" s="3187"/>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4" t="str">
        <f>IF(D120=0,"故，本次评估不存在"&amp;A120,"故，本次评估"&amp;A120&amp;"为人民币"&amp;D120&amp;"万元整。")</f>
        <v>故，本次评估不存在估价师知悉的法定优先受偿款</v>
      </c>
    </row>
    <row r="121" spans="1:11" ht="18.75" customHeight="1">
      <c r="A121" s="3182" t="s">
        <v>2305</v>
      </c>
      <c r="B121" s="3183"/>
      <c r="C121" s="3184"/>
      <c r="D121" s="3185" t="str">
        <f>IF(D120=0,"零元整",NUMBERSTRING(INT(D120*10000),2)&amp;"元整")</f>
        <v>零元整</v>
      </c>
      <c r="E121" s="3186"/>
      <c r="F121" s="3186"/>
      <c r="G121" s="3186"/>
      <c r="H121" s="3186"/>
      <c r="I121" s="3187"/>
    </row>
    <row r="122" spans="1:11" ht="18.75" customHeight="1">
      <c r="A122" s="3188" t="str">
        <f>IF(项目基本情况!B9="房地产市场价值","",MID(E107,3,LEN(E107)-2))</f>
        <v>房地产抵押价值</v>
      </c>
      <c r="B122" s="3188"/>
      <c r="C122" s="3188"/>
      <c r="D122" s="3189">
        <f ca="1">H107</f>
        <v>435</v>
      </c>
      <c r="E122" s="3190"/>
      <c r="F122" s="3190"/>
      <c r="G122" s="3190"/>
      <c r="H122" s="3190"/>
      <c r="I122" s="3191"/>
    </row>
    <row r="123" spans="1:11" ht="18.75" customHeight="1">
      <c r="A123" s="3073" t="s">
        <v>2305</v>
      </c>
      <c r="B123" s="3073"/>
      <c r="C123" s="3073"/>
      <c r="D123" s="3185" t="str">
        <f ca="1">NUMBERSTRING(INT(D122*10000),2)&amp;"元整"</f>
        <v>肆佰叁拾伍万元整</v>
      </c>
      <c r="E123" s="3186"/>
      <c r="F123" s="3186"/>
      <c r="G123" s="3186"/>
      <c r="H123" s="3186"/>
      <c r="I123" s="3187"/>
    </row>
    <row r="124" spans="1:11" ht="18.75" customHeight="1">
      <c r="A124" s="3188" t="str">
        <f>IF(项目基本情况!B9="房地产市场价值","",MID(E109,3,LEN(E109)-2))</f>
        <v/>
      </c>
      <c r="B124" s="3188"/>
      <c r="C124" s="3188"/>
      <c r="D124" s="3189" t="str">
        <f>H109</f>
        <v>——</v>
      </c>
      <c r="E124" s="3190"/>
      <c r="F124" s="3190"/>
      <c r="G124" s="3190"/>
      <c r="H124" s="3190"/>
      <c r="I124" s="3191"/>
    </row>
    <row r="125" spans="1:11" ht="18.75" customHeight="1">
      <c r="A125" s="3073" t="s">
        <v>2305</v>
      </c>
      <c r="B125" s="3073"/>
      <c r="C125" s="3073"/>
      <c r="D125" s="3185" t="e">
        <f>NUMBERSTRING(INT(D124*10000),2)&amp;"元整"</f>
        <v>#VALUE!</v>
      </c>
      <c r="E125" s="3186"/>
      <c r="F125" s="3186"/>
      <c r="G125" s="3186"/>
      <c r="H125" s="3186"/>
      <c r="I125" s="3187"/>
    </row>
    <row r="126" spans="1:11" ht="18.75" customHeight="1">
      <c r="A126" s="3188" t="str">
        <f>IF(项目基本情况!B9="房地产市场价值","",MID(E111,3,LEN(E111)-2))</f>
        <v/>
      </c>
      <c r="B126" s="3188"/>
      <c r="C126" s="3188"/>
      <c r="D126" s="3189" t="str">
        <f>H111</f>
        <v>——</v>
      </c>
      <c r="E126" s="3190"/>
      <c r="F126" s="3190"/>
      <c r="G126" s="3190"/>
      <c r="H126" s="3190"/>
      <c r="I126" s="3191"/>
    </row>
    <row r="127" spans="1:11" ht="18.75" customHeight="1">
      <c r="A127" s="3073" t="s">
        <v>2305</v>
      </c>
      <c r="B127" s="3073"/>
      <c r="C127" s="3073"/>
      <c r="D127" s="3185" t="e">
        <f>NUMBERSTRING(INT(D126*10000),2)&amp;"元整"</f>
        <v>#VALUE!</v>
      </c>
      <c r="E127" s="3186"/>
      <c r="F127" s="3186"/>
      <c r="G127" s="3186"/>
      <c r="H127" s="3186"/>
      <c r="I127" s="3187"/>
    </row>
    <row r="128" spans="1:11" ht="21.75" customHeight="1">
      <c r="A128" s="3192" t="s">
        <v>2306</v>
      </c>
      <c r="B128" s="3192"/>
      <c r="C128" s="3192"/>
      <c r="D128" s="3192"/>
      <c r="E128" s="3192"/>
      <c r="F128" s="3192"/>
      <c r="G128" s="3192"/>
      <c r="H128" s="3192"/>
      <c r="I128" s="3192"/>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998" customWidth="1"/>
    <col min="2" max="9" width="10" style="998" customWidth="1"/>
    <col min="10" max="16384" width="9" style="998"/>
  </cols>
  <sheetData>
    <row r="36" spans="1:9">
      <c r="A36" s="997" t="s">
        <v>818</v>
      </c>
      <c r="B36" s="997" t="s">
        <v>819</v>
      </c>
    </row>
    <row r="37" spans="1:9" ht="27.75" customHeight="1">
      <c r="A37" s="997"/>
      <c r="B37" s="3007" t="str">
        <f>项目基本情况!B1</f>
        <v>北京市房地产抵押价值预评估</v>
      </c>
      <c r="C37" s="3007"/>
      <c r="D37" s="3007"/>
      <c r="E37" s="3007"/>
      <c r="F37" s="3007"/>
      <c r="G37" s="3007"/>
      <c r="H37" s="3007"/>
      <c r="I37" s="3007"/>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ht="12.75">
      <c r="B46" s="1924" t="str">
        <f ca="1">项目基本情况!K4</f>
        <v>王鹏（注册号：1120050019)、郑燚（注册号：1120070131)</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31">
    <tabColor rgb="FF92D050"/>
    <pageSetUpPr fitToPage="1"/>
  </sheetPr>
  <dimension ref="A1:I57"/>
  <sheetViews>
    <sheetView workbookViewId="0">
      <selection activeCell="F8" sqref="F8"/>
    </sheetView>
  </sheetViews>
  <sheetFormatPr defaultColWidth="8.375" defaultRowHeight="12.75"/>
  <cols>
    <col min="1" max="1" width="10.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9" s="235" customFormat="1" ht="20.25">
      <c r="A1" s="231" t="s">
        <v>2314</v>
      </c>
      <c r="B1" s="1919"/>
      <c r="C1" s="233"/>
      <c r="D1" s="233"/>
      <c r="E1" s="233"/>
      <c r="F1" s="233"/>
      <c r="G1" s="1362">
        <f>MATCH(B1,'数据-取费表'!A6:A16,0)+5</f>
        <v>8</v>
      </c>
    </row>
    <row r="2" spans="1:9" s="235" customFormat="1" ht="18" customHeight="1">
      <c r="A2" s="236" t="s">
        <v>2315</v>
      </c>
      <c r="B2" s="237">
        <f ca="1">IF(D2="——",C52,C52-E2)</f>
        <v>479</v>
      </c>
      <c r="C2" s="234" t="s">
        <v>2316</v>
      </c>
      <c r="D2" s="2530" t="s">
        <v>70</v>
      </c>
      <c r="E2" s="1423" t="e">
        <f ca="1">SUMIF(INDIRECT("'"&amp;G2&amp;"'"&amp;"!A:A"),"承租人权益价值",INDIRECT("'"&amp;G2&amp;"'"&amp;"!c:c"))</f>
        <v>#REF!</v>
      </c>
      <c r="F2" s="2531" t="s">
        <v>2316</v>
      </c>
      <c r="G2" s="2532"/>
    </row>
    <row r="3" spans="1:9" s="235" customFormat="1" ht="18" customHeight="1" thickBot="1">
      <c r="A3" s="238" t="s">
        <v>2317</v>
      </c>
      <c r="B3" s="239">
        <f ca="1">ROUND(B2*10000/(IF(B1="",'数据-汇总表'!E3,INDIRECT("'数据-取费表'!k"&amp;$G$1))),0)</f>
        <v>3782</v>
      </c>
      <c r="C3" s="234" t="s">
        <v>2318</v>
      </c>
      <c r="D3" s="234"/>
      <c r="E3" s="234"/>
      <c r="F3" s="234"/>
      <c r="G3" s="234"/>
    </row>
    <row r="4" spans="1:9" s="243" customFormat="1" ht="15.75">
      <c r="A4" s="240" t="s">
        <v>2319</v>
      </c>
      <c r="B4" s="241"/>
      <c r="C4" s="241"/>
      <c r="D4" s="241"/>
      <c r="E4" s="241"/>
      <c r="F4" s="241"/>
      <c r="G4" s="242"/>
    </row>
    <row r="5" spans="1:9" s="249" customFormat="1" ht="13.5" customHeight="1">
      <c r="A5" s="290" t="s">
        <v>2320</v>
      </c>
      <c r="B5" s="245" t="s">
        <v>2321</v>
      </c>
      <c r="C5" s="246">
        <f>C6+C7+C8</f>
        <v>2.52</v>
      </c>
      <c r="D5" s="246" t="s">
        <v>2322</v>
      </c>
      <c r="E5" s="247" t="s">
        <v>2323</v>
      </c>
      <c r="F5" s="247" t="s">
        <v>2324</v>
      </c>
      <c r="G5" s="248"/>
    </row>
    <row r="6" spans="1:9" s="249" customFormat="1" ht="13.5" customHeight="1">
      <c r="A6" s="932" t="s">
        <v>2325</v>
      </c>
      <c r="B6" s="250" t="s">
        <v>2326</v>
      </c>
      <c r="C6" s="251"/>
      <c r="D6" s="252"/>
      <c r="E6" s="253"/>
      <c r="F6" s="253"/>
      <c r="G6" s="254"/>
    </row>
    <row r="7" spans="1:9" s="249" customFormat="1" ht="13.5" customHeight="1">
      <c r="A7" s="932" t="s">
        <v>2327</v>
      </c>
      <c r="B7" s="250" t="s">
        <v>2328</v>
      </c>
      <c r="C7" s="255">
        <f>ROUND(C6*F7,0)</f>
        <v>0</v>
      </c>
      <c r="D7" s="255"/>
      <c r="E7" s="253"/>
      <c r="F7" s="256">
        <f>IF(项目基本情况!B8="出让",0,'数据-取费表'!B48+'数据-取费表'!B49)</f>
        <v>3.0499999999999999E-2</v>
      </c>
      <c r="G7" s="254"/>
    </row>
    <row r="8" spans="1:9" s="258" customFormat="1">
      <c r="A8" s="932" t="s">
        <v>2329</v>
      </c>
      <c r="B8" s="250" t="s">
        <v>2330</v>
      </c>
      <c r="C8" s="255">
        <f>IF(G8="已包含在土地购买价格中","0",IF(B1="",'数据-取费表'!B29,IF(G9="全部缴纳",C9+C10,H9)))</f>
        <v>2.52</v>
      </c>
      <c r="D8" s="257"/>
      <c r="E8" s="255"/>
      <c r="F8" s="256"/>
      <c r="G8" s="2533"/>
    </row>
    <row r="9" spans="1:9" s="249" customFormat="1" ht="13.5" customHeight="1">
      <c r="A9" s="933" t="s">
        <v>800</v>
      </c>
      <c r="B9" s="259" t="s">
        <v>2331</v>
      </c>
      <c r="C9" s="260">
        <f ca="1">ROUND(D9*E9/10000,0)</f>
        <v>0</v>
      </c>
      <c r="D9" s="1015">
        <f ca="1">IF(B1="",'数据-汇总表'!E5,IF(INDIRECT("'数据-取费表'!c"&amp;$G$1)="住宅",INDIRECT("'数据-取费表'!k"&amp;$G$1),0))</f>
        <v>0</v>
      </c>
      <c r="E9" s="260">
        <f>'数据-取费表'!B27</f>
        <v>160</v>
      </c>
      <c r="F9" s="256"/>
      <c r="G9" s="2534"/>
      <c r="H9" s="1373"/>
      <c r="I9" s="2535" t="s">
        <v>2332</v>
      </c>
    </row>
    <row r="10" spans="1:9" s="249" customFormat="1" ht="13.5" customHeight="1">
      <c r="A10" s="933" t="s">
        <v>801</v>
      </c>
      <c r="B10" s="259" t="s">
        <v>2333</v>
      </c>
      <c r="C10" s="260">
        <f ca="1">ROUND(D10*E10/10000,0)</f>
        <v>25</v>
      </c>
      <c r="D10" s="1015">
        <f ca="1">IF(B1="",'数据-汇总表'!E6,IF(INDIRECT("'数据-取费表'!c"&amp;$G$1)="住宅",INDIRECT("'数据-取费表'!s"&amp;$G$1),INDIRECT("'数据-取费表'!k"&amp;$G$1)+INDIRECT("'数据-取费表'!s"&amp;$G$1)))</f>
        <v>1266.6499999999999</v>
      </c>
      <c r="E10" s="260">
        <f>'数据-取费表'!B28</f>
        <v>200</v>
      </c>
      <c r="F10" s="256"/>
      <c r="G10" s="261"/>
    </row>
    <row r="11" spans="1:9" s="249" customFormat="1" ht="13.5" hidden="1" customHeight="1">
      <c r="A11" s="262" t="s">
        <v>7</v>
      </c>
      <c r="B11" s="250" t="s">
        <v>2334</v>
      </c>
      <c r="C11" s="246"/>
      <c r="D11" s="1017"/>
      <c r="E11" s="253"/>
      <c r="F11" s="253"/>
      <c r="G11" s="254"/>
    </row>
    <row r="12" spans="1:9" s="249" customFormat="1" ht="13.5" hidden="1" customHeight="1">
      <c r="A12" s="262" t="s">
        <v>8</v>
      </c>
      <c r="B12" s="250" t="s">
        <v>2335</v>
      </c>
      <c r="C12" s="246">
        <v>0</v>
      </c>
      <c r="D12" s="1017"/>
      <c r="E12" s="263"/>
      <c r="F12" s="256">
        <v>3.0499999999999999E-2</v>
      </c>
      <c r="G12" s="254"/>
    </row>
    <row r="13" spans="1:9" s="249" customFormat="1" ht="13.5" hidden="1" customHeight="1">
      <c r="A13" s="262" t="s">
        <v>9</v>
      </c>
      <c r="B13" s="250" t="s">
        <v>2336</v>
      </c>
      <c r="C13" s="246"/>
      <c r="D13" s="1017"/>
      <c r="E13" s="253"/>
      <c r="F13" s="253"/>
      <c r="G13" s="254"/>
    </row>
    <row r="14" spans="1:9" s="249" customFormat="1" ht="13.5" hidden="1" customHeight="1">
      <c r="A14" s="262" t="s">
        <v>10</v>
      </c>
      <c r="B14" s="250" t="s">
        <v>2337</v>
      </c>
      <c r="C14" s="246"/>
      <c r="D14" s="1017"/>
      <c r="E14" s="253"/>
      <c r="F14" s="253"/>
      <c r="G14" s="254" t="s">
        <v>2338</v>
      </c>
    </row>
    <row r="15" spans="1:9" s="249" customFormat="1" ht="13.5" hidden="1" customHeight="1">
      <c r="A15" s="262" t="s">
        <v>11</v>
      </c>
      <c r="B15" s="250" t="s">
        <v>2339</v>
      </c>
      <c r="C15" s="255"/>
      <c r="D15" s="1017"/>
      <c r="E15" s="253"/>
      <c r="F15" s="253"/>
      <c r="G15" s="254" t="s">
        <v>2340</v>
      </c>
    </row>
    <row r="16" spans="1:9" s="249" customFormat="1" ht="13.5" hidden="1" customHeight="1">
      <c r="A16" s="262" t="s">
        <v>12</v>
      </c>
      <c r="B16" s="250" t="s">
        <v>2337</v>
      </c>
      <c r="C16" s="255"/>
      <c r="D16" s="1017"/>
      <c r="E16" s="253"/>
      <c r="F16" s="253"/>
      <c r="G16" s="254"/>
    </row>
    <row r="17" spans="1:7" s="249" customFormat="1" ht="13.5" hidden="1" customHeight="1">
      <c r="A17" s="262" t="s">
        <v>13</v>
      </c>
      <c r="B17" s="250" t="s">
        <v>2341</v>
      </c>
      <c r="C17" s="264"/>
      <c r="D17" s="1018"/>
      <c r="E17" s="264"/>
      <c r="F17" s="264"/>
      <c r="G17" s="254" t="s">
        <v>2340</v>
      </c>
    </row>
    <row r="18" spans="1:7" s="249" customFormat="1" ht="13.5" hidden="1" customHeight="1">
      <c r="A18" s="262" t="s">
        <v>14</v>
      </c>
      <c r="B18" s="250" t="s">
        <v>2342</v>
      </c>
      <c r="C18" s="255">
        <v>0</v>
      </c>
      <c r="D18" s="1017"/>
      <c r="E18" s="253"/>
      <c r="F18" s="256">
        <v>3.0499999999999999E-2</v>
      </c>
      <c r="G18" s="254" t="s">
        <v>2343</v>
      </c>
    </row>
    <row r="19" spans="1:7" s="258" customFormat="1" ht="13.5" customHeight="1">
      <c r="A19" s="290" t="s">
        <v>2344</v>
      </c>
      <c r="B19" s="245" t="s">
        <v>2345</v>
      </c>
      <c r="C19" s="246">
        <f ca="1">IF(G19="已包含在土地取得成本中","0",ROUND(D19*E19/10000,0))</f>
        <v>25</v>
      </c>
      <c r="D19" s="1019">
        <f ca="1">D9+D10</f>
        <v>1266.6499999999999</v>
      </c>
      <c r="E19" s="246">
        <f>'数据-取费表'!B31</f>
        <v>200</v>
      </c>
      <c r="F19" s="266"/>
      <c r="G19" s="2533"/>
    </row>
    <row r="20" spans="1:7" s="249" customFormat="1" ht="13.5" customHeight="1">
      <c r="A20" s="290" t="s">
        <v>2346</v>
      </c>
      <c r="B20" s="245" t="s">
        <v>2347</v>
      </c>
      <c r="C20" s="267">
        <f ca="1">ROUND((C5+C19)*F20,0)</f>
        <v>1</v>
      </c>
      <c r="D20" s="267"/>
      <c r="E20" s="267"/>
      <c r="F20" s="268">
        <f>'数据-取费表'!B37</f>
        <v>0.02</v>
      </c>
      <c r="G20" s="269" t="s">
        <v>2348</v>
      </c>
    </row>
    <row r="21" spans="1:7" s="249" customFormat="1" ht="13.5" customHeight="1">
      <c r="A21" s="290" t="s">
        <v>2349</v>
      </c>
      <c r="B21" s="245" t="s">
        <v>2350</v>
      </c>
      <c r="C21" s="270">
        <f>F21</f>
        <v>0.02</v>
      </c>
      <c r="D21" s="271" t="s">
        <v>2351</v>
      </c>
      <c r="E21" s="267"/>
      <c r="F21" s="268">
        <f>'数据-取费表'!B38</f>
        <v>0.02</v>
      </c>
      <c r="G21" s="269" t="s">
        <v>2352</v>
      </c>
    </row>
    <row r="22" spans="1:7" s="249" customFormat="1" ht="13.5" customHeight="1">
      <c r="A22" s="290" t="s">
        <v>2353</v>
      </c>
      <c r="B22" s="245" t="s">
        <v>2354</v>
      </c>
      <c r="C22" s="1337">
        <f ca="1">ROUND(SUM(C23:C25),0)</f>
        <v>2</v>
      </c>
      <c r="D22" s="270">
        <f ca="1">C26</f>
        <v>1E-3</v>
      </c>
      <c r="E22" s="271" t="s">
        <v>2351</v>
      </c>
      <c r="F22" s="272">
        <f ca="1">'数据-取费表'!B40</f>
        <v>4.7500000000000001E-2</v>
      </c>
      <c r="G22" s="269" t="str">
        <f>IF('数据-取费表'!B22&lt;=1,"单利计息","复利计息")</f>
        <v>复利计息</v>
      </c>
    </row>
    <row r="23" spans="1:7" s="249" customFormat="1" ht="13.5" customHeight="1">
      <c r="A23" s="934" t="s">
        <v>2355</v>
      </c>
      <c r="B23" s="250" t="s">
        <v>2356</v>
      </c>
      <c r="C23" s="1338">
        <f ca="1">ROUND(IF('数据-取费表'!B22&lt;=1,C5*F22*'数据-取费表'!B23,C5*(POWER((1+F22),'数据-取费表'!B23)-1)),0)</f>
        <v>0</v>
      </c>
      <c r="D23" s="273"/>
      <c r="E23" s="273"/>
      <c r="F23" s="274"/>
      <c r="G23" s="275" t="s">
        <v>2357</v>
      </c>
    </row>
    <row r="24" spans="1:7" s="249" customFormat="1" ht="13.5" customHeight="1">
      <c r="A24" s="934" t="s">
        <v>2358</v>
      </c>
      <c r="B24" s="250" t="s">
        <v>2359</v>
      </c>
      <c r="C24" s="1338">
        <f ca="1">ROUND(IF('数据-取费表'!B22&lt;=1,C19*F22*('数据-取费表'!B19/2+'数据-取费表'!B21),C19*(POWER((1+F22),('数据-取费表'!B19/2+'数据-取费表'!B21))-1)),0)</f>
        <v>2</v>
      </c>
      <c r="D24" s="273"/>
      <c r="E24" s="273"/>
      <c r="F24" s="274"/>
      <c r="G24" s="275" t="s">
        <v>2360</v>
      </c>
    </row>
    <row r="25" spans="1:7" s="249" customFormat="1" ht="24">
      <c r="A25" s="934" t="s">
        <v>2361</v>
      </c>
      <c r="B25" s="250" t="s">
        <v>2362</v>
      </c>
      <c r="C25" s="1338">
        <f ca="1">ROUND(IF('数据-取费表'!B22&lt;=1,C20*F22*'数据-取费表'!B23/2,C20*(POWER((1+F22),'数据-取费表'!B23/2)-1)),0)</f>
        <v>0</v>
      </c>
      <c r="D25" s="273"/>
      <c r="E25" s="276"/>
      <c r="F25" s="274"/>
      <c r="G25" s="277" t="s">
        <v>2363</v>
      </c>
    </row>
    <row r="26" spans="1:7" s="249" customFormat="1">
      <c r="A26" s="934" t="s">
        <v>795</v>
      </c>
      <c r="B26" s="250" t="s">
        <v>2364</v>
      </c>
      <c r="C26" s="273">
        <f ca="1">ROUND(IF('数据-取费表'!B22&lt;=1,F21*F22*'数据-取费表'!B23/2,F21*(POWER((1+F22),'数据-取费表'!B23/2)-1)),4)</f>
        <v>1E-3</v>
      </c>
      <c r="D26" s="273"/>
      <c r="E26" s="276"/>
      <c r="F26" s="274"/>
      <c r="G26" s="278"/>
    </row>
    <row r="27" spans="1:7" s="249" customFormat="1" ht="24.75">
      <c r="A27" s="290" t="s">
        <v>2365</v>
      </c>
      <c r="B27" s="279" t="s">
        <v>2366</v>
      </c>
      <c r="C27" s="280">
        <f ca="1">C28</f>
        <v>7</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ROUND((C5+C19+C20)*F27*'数据-取费表'!B21/'数据-取费表'!B20,0)</f>
        <v>7</v>
      </c>
      <c r="D28" s="270"/>
      <c r="E28" s="271"/>
      <c r="F28" s="281"/>
      <c r="G28" s="282"/>
    </row>
    <row r="29" spans="1:7" s="249" customFormat="1" ht="13.5" customHeight="1">
      <c r="A29" s="934" t="s">
        <v>792</v>
      </c>
      <c r="B29" s="283" t="s">
        <v>2370</v>
      </c>
      <c r="C29" s="273">
        <f ca="1">ROUND(C21*F27*'数据-取费表'!B21/'数据-取费表'!B20,4)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41</v>
      </c>
      <c r="D31" s="265"/>
      <c r="E31" s="246"/>
      <c r="F31" s="285"/>
      <c r="G31" s="269" t="s">
        <v>2375</v>
      </c>
    </row>
    <row r="32" spans="1:7" s="243" customFormat="1" ht="15.75">
      <c r="A32" s="287" t="s">
        <v>2376</v>
      </c>
      <c r="B32" s="288"/>
      <c r="C32" s="288"/>
      <c r="D32" s="288"/>
      <c r="E32" s="288"/>
      <c r="F32" s="288"/>
      <c r="G32" s="289"/>
    </row>
    <row r="33" spans="1:7" s="249" customFormat="1" ht="13.5" customHeight="1">
      <c r="A33" s="290" t="s">
        <v>782</v>
      </c>
      <c r="B33" s="245" t="s">
        <v>2377</v>
      </c>
      <c r="C33" s="291">
        <f ca="1">SUM(C34:C38)</f>
        <v>395</v>
      </c>
      <c r="D33" s="267"/>
      <c r="E33" s="247"/>
      <c r="F33" s="276"/>
      <c r="G33" s="269"/>
    </row>
    <row r="34" spans="1:7" s="293" customFormat="1" ht="13.5" customHeight="1">
      <c r="A34" s="934" t="s">
        <v>791</v>
      </c>
      <c r="B34" s="250" t="s">
        <v>2378</v>
      </c>
      <c r="C34" s="255">
        <f ca="1">IF(B1="",IF(F34=100%,'数据-取费表'!M16,'数据-取费表'!O16),IF(F34=100%,INDIRECT("'数据-取费表'!m"&amp;$G$1)+INDIRECT("'数据-取费表'!t"&amp;$G$1),INDIRECT("'数据-取费表'!o"&amp;$G$1)+INDIRECT("'数据-取费表'!aq"&amp;$G$1)))</f>
        <v>354</v>
      </c>
      <c r="D34" s="252"/>
      <c r="E34" s="255"/>
      <c r="F34" s="292">
        <f ca="1">IF('数据-取费表'!B24=0,1,IF(B1="",'数据-取费表'!N16,INDIRECT("'数据-取费表'!n"&amp;$G$1)))</f>
        <v>1</v>
      </c>
      <c r="G34" s="254" t="s">
        <v>2379</v>
      </c>
    </row>
    <row r="35" spans="1:7" ht="13.5" customHeight="1">
      <c r="A35" s="934" t="s">
        <v>796</v>
      </c>
      <c r="B35" s="250" t="s">
        <v>2380</v>
      </c>
      <c r="C35" s="255">
        <f ca="1">ROUND(C34*F35,0)</f>
        <v>11</v>
      </c>
      <c r="D35" s="255"/>
      <c r="E35" s="255"/>
      <c r="F35" s="294">
        <f>'数据-取费表'!B33</f>
        <v>0.03</v>
      </c>
      <c r="G35" s="254" t="s">
        <v>2381</v>
      </c>
    </row>
    <row r="36" spans="1:7" ht="24">
      <c r="A36" s="934" t="s">
        <v>797</v>
      </c>
      <c r="B36" s="250" t="s">
        <v>2382</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2383</v>
      </c>
    </row>
    <row r="37" spans="1:7" s="293" customFormat="1" ht="13.5" customHeight="1">
      <c r="A37" s="934" t="s">
        <v>798</v>
      </c>
      <c r="B37" s="250" t="s">
        <v>2384</v>
      </c>
      <c r="C37" s="284">
        <f ca="1">ROUND(E37*D37*F34/10000,0)</f>
        <v>25</v>
      </c>
      <c r="D37" s="252">
        <f ca="1">D19</f>
        <v>1266.6499999999999</v>
      </c>
      <c r="E37" s="284">
        <f>'数据-取费表'!B35</f>
        <v>200</v>
      </c>
      <c r="F37" s="294"/>
      <c r="G37" s="296" t="s">
        <v>2385</v>
      </c>
    </row>
    <row r="38" spans="1:7" ht="13.5" customHeight="1">
      <c r="A38" s="934" t="s">
        <v>799</v>
      </c>
      <c r="B38" s="250" t="s">
        <v>2386</v>
      </c>
      <c r="C38" s="255">
        <f ca="1">ROUND(C34*F38,0)</f>
        <v>5</v>
      </c>
      <c r="D38" s="255"/>
      <c r="E38" s="255"/>
      <c r="F38" s="294">
        <f>'数据-取费表'!B36</f>
        <v>1.4999999999999999E-2</v>
      </c>
      <c r="G38" s="254" t="s">
        <v>2381</v>
      </c>
    </row>
    <row r="39" spans="1:7" s="249" customFormat="1" ht="13.5" customHeight="1">
      <c r="A39" s="290" t="s">
        <v>2387</v>
      </c>
      <c r="B39" s="245" t="s">
        <v>2388</v>
      </c>
      <c r="C39" s="267">
        <f ca="1">ROUND(C33*F20,0)</f>
        <v>8</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ROUND(IF('数据-取费表'!B22&lt;=1,C33*F22*'数据-取费表'!B21/2,C33*(POWER((1+F22),'数据-取费表'!B21/2)-1)),0)</f>
        <v>14</v>
      </c>
      <c r="D42" s="273"/>
      <c r="E42" s="273"/>
      <c r="F42" s="274"/>
      <c r="G42" s="3193" t="s">
        <v>2397</v>
      </c>
    </row>
    <row r="43" spans="1:7" ht="13.5" customHeight="1">
      <c r="A43" s="934" t="s">
        <v>792</v>
      </c>
      <c r="B43" s="250" t="s">
        <v>2398</v>
      </c>
      <c r="C43" s="273">
        <f ca="1">ROUND(IF('数据-取费表'!B22&lt;=1,C39*F22*'数据-取费表'!B21/2,C39*(POWER((1+F22),'数据-取费表'!B21/2)-1)),0)</f>
        <v>0</v>
      </c>
      <c r="D43" s="273"/>
      <c r="E43" s="273"/>
      <c r="F43" s="274"/>
      <c r="G43" s="3194"/>
    </row>
    <row r="44" spans="1:7" ht="13.5" customHeight="1">
      <c r="A44" s="934" t="s">
        <v>793</v>
      </c>
      <c r="B44" s="250" t="s">
        <v>2399</v>
      </c>
      <c r="C44" s="273">
        <f ca="1">ROUND(IF('数据-取费表'!B22&lt;=1,C40*F22*'数据-取费表'!B21/2,C40*(POWER((1+F22),'数据-取费表'!B21/2)-1)),4)</f>
        <v>6.9999999999999999E-4</v>
      </c>
      <c r="D44" s="273"/>
      <c r="E44" s="273"/>
      <c r="F44" s="274"/>
      <c r="G44" s="3195"/>
    </row>
    <row r="45" spans="1:7" s="249" customFormat="1" ht="13.5" customHeight="1">
      <c r="A45" s="290" t="s">
        <v>2400</v>
      </c>
      <c r="B45" s="279" t="s">
        <v>2366</v>
      </c>
      <c r="C45" s="280">
        <f ca="1">C46</f>
        <v>101</v>
      </c>
      <c r="D45" s="270">
        <f ca="1">C47</f>
        <v>5.0000000000000001E-3</v>
      </c>
      <c r="E45" s="271" t="s">
        <v>2392</v>
      </c>
      <c r="F45" s="281"/>
      <c r="G45" s="282" t="s">
        <v>2401</v>
      </c>
    </row>
    <row r="46" spans="1:7" s="249" customFormat="1" ht="13.5" customHeight="1">
      <c r="A46" s="934" t="s">
        <v>791</v>
      </c>
      <c r="B46" s="283" t="s">
        <v>2402</v>
      </c>
      <c r="C46" s="284">
        <f ca="1">ROUND((C33+C39)*F27,0)</f>
        <v>101</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1711">
        <f>ROUND(F30/(1+'数据-取费表'!C42),4)</f>
        <v>5.33E-2</v>
      </c>
      <c r="D48" s="271" t="s">
        <v>2392</v>
      </c>
      <c r="E48" s="267"/>
      <c r="F48" s="272"/>
      <c r="G48" s="269" t="s">
        <v>2405</v>
      </c>
    </row>
    <row r="49" spans="1:7" ht="16.5" customHeight="1">
      <c r="A49" s="290" t="s">
        <v>2371</v>
      </c>
      <c r="B49" s="245" t="s">
        <v>2406</v>
      </c>
      <c r="C49" s="267">
        <f ca="1">ROUND((C33+C39+C41+C45)/(1-C40-D41-D45-C48),0)</f>
        <v>562</v>
      </c>
      <c r="D49" s="267"/>
      <c r="E49" s="267"/>
      <c r="F49" s="299"/>
      <c r="G49" s="269" t="s">
        <v>2407</v>
      </c>
    </row>
    <row r="50" spans="1:7" s="293" customFormat="1" ht="24">
      <c r="A50" s="290" t="s">
        <v>2408</v>
      </c>
      <c r="B50" s="245" t="s">
        <v>2409</v>
      </c>
      <c r="C50" s="267"/>
      <c r="D50" s="267"/>
      <c r="E50" s="267"/>
      <c r="F50" s="299">
        <f>IF('数据-取费表'!B24=0,'数据-取费表'!N16,1)</f>
        <v>0.78</v>
      </c>
      <c r="G50" s="282" t="s">
        <v>2410</v>
      </c>
    </row>
    <row r="51" spans="1:7" ht="16.5" customHeight="1">
      <c r="A51" s="290" t="s">
        <v>2411</v>
      </c>
      <c r="B51" s="245" t="s">
        <v>2412</v>
      </c>
      <c r="C51" s="267">
        <f ca="1">ROUND(C49*F50,0)</f>
        <v>438</v>
      </c>
      <c r="D51" s="267"/>
      <c r="E51" s="267"/>
      <c r="F51" s="299"/>
      <c r="G51" s="269" t="s">
        <v>2413</v>
      </c>
    </row>
    <row r="52" spans="1:7" s="243" customFormat="1" ht="16.5" thickBot="1">
      <c r="A52" s="300" t="s">
        <v>2414</v>
      </c>
      <c r="B52" s="301"/>
      <c r="C52" s="302">
        <f ca="1">C31+C51</f>
        <v>479</v>
      </c>
      <c r="D52" s="301"/>
      <c r="E52" s="301"/>
      <c r="F52" s="301"/>
      <c r="G52" s="303"/>
    </row>
    <row r="55" spans="1:7" ht="15">
      <c r="B55" s="305" t="s">
        <v>2415</v>
      </c>
      <c r="C55" s="306"/>
    </row>
    <row r="56" spans="1:7">
      <c r="B56" s="308" t="s">
        <v>1507</v>
      </c>
      <c r="C56" s="310">
        <f ca="1">1-C57</f>
        <v>8.5999999999999965E-2</v>
      </c>
    </row>
    <row r="57" spans="1:7">
      <c r="B57" s="308" t="s">
        <v>1508</v>
      </c>
      <c r="C57" s="30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sheetPr codeName="Sheet32">
    <tabColor rgb="FF92D050"/>
    <pageSetUpPr fitToPage="1"/>
  </sheetPr>
  <dimension ref="A1:H57"/>
  <sheetViews>
    <sheetView workbookViewId="0">
      <selection activeCell="F7" sqref="F7"/>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8" width="10.75" style="286" customWidth="1"/>
    <col min="9" max="254" width="9" style="286" customWidth="1"/>
    <col min="255" max="16384" width="8.375" style="286"/>
  </cols>
  <sheetData>
    <row r="1" spans="1:8" s="235" customFormat="1" ht="20.25">
      <c r="A1" s="231" t="s">
        <v>2314</v>
      </c>
      <c r="B1" s="1919"/>
      <c r="C1" s="2536" t="s">
        <v>2416</v>
      </c>
      <c r="D1" s="233"/>
      <c r="E1" s="233"/>
      <c r="F1" s="233"/>
      <c r="G1" s="1362">
        <f>MATCH(B1,'数据-取费表'!A6:A16,0)+5</f>
        <v>8</v>
      </c>
      <c r="H1" s="1265" t="str">
        <f>IF(ISERROR(FIND("住宅",B1)),"非住宅","住宅")</f>
        <v>非住宅</v>
      </c>
    </row>
    <row r="2" spans="1:8" s="235" customFormat="1" ht="18" customHeight="1">
      <c r="A2" s="236" t="s">
        <v>2315</v>
      </c>
      <c r="B2" s="237">
        <f ca="1">ROUND(IF(D2="——",C52/10000,C52/10000-E2),0)</f>
        <v>515</v>
      </c>
      <c r="C2" s="234" t="s">
        <v>2316</v>
      </c>
      <c r="D2" s="2530" t="s">
        <v>70</v>
      </c>
      <c r="E2" s="1423" t="e">
        <f ca="1">SUMIF(INDIRECT("'"&amp;G2&amp;"'"&amp;"!A:A"),"承租人权益价值",INDIRECT("'"&amp;G2&amp;"'"&amp;"!c:c"))</f>
        <v>#REF!</v>
      </c>
      <c r="F2" s="2531" t="s">
        <v>2316</v>
      </c>
      <c r="G2" s="2532"/>
    </row>
    <row r="3" spans="1:8" s="235" customFormat="1" ht="18" customHeight="1" thickBot="1">
      <c r="A3" s="238" t="s">
        <v>2317</v>
      </c>
      <c r="B3" s="239">
        <f ca="1">ROUND(B2*10000/(IF(B1="",'数据-汇总表'!E3,INDIRECT("'数据-取费表'!k"&amp;$G$1))),0)</f>
        <v>4066</v>
      </c>
      <c r="C3" s="234" t="s">
        <v>2318</v>
      </c>
      <c r="D3" s="234"/>
      <c r="E3" s="234"/>
      <c r="F3" s="234"/>
      <c r="G3" s="234"/>
    </row>
    <row r="4" spans="1:8" s="243" customFormat="1" ht="15.75">
      <c r="A4" s="240" t="s">
        <v>2319</v>
      </c>
      <c r="B4" s="241"/>
      <c r="C4" s="241"/>
      <c r="D4" s="241"/>
      <c r="E4" s="241"/>
      <c r="F4" s="241"/>
      <c r="G4" s="242"/>
    </row>
    <row r="5" spans="1:8" s="249" customFormat="1" ht="13.5" customHeight="1">
      <c r="A5" s="290" t="s">
        <v>2320</v>
      </c>
      <c r="B5" s="245" t="s">
        <v>2321</v>
      </c>
      <c r="C5" s="246">
        <f ca="1">C6+C7+C8</f>
        <v>253330</v>
      </c>
      <c r="D5" s="246" t="s">
        <v>2322</v>
      </c>
      <c r="E5" s="247" t="s">
        <v>2323</v>
      </c>
      <c r="F5" s="247" t="s">
        <v>2324</v>
      </c>
      <c r="G5" s="248"/>
    </row>
    <row r="6" spans="1:8" s="249" customFormat="1" ht="13.5" customHeight="1">
      <c r="A6" s="932" t="s">
        <v>2325</v>
      </c>
      <c r="B6" s="250" t="s">
        <v>2326</v>
      </c>
      <c r="C6" s="251"/>
      <c r="D6" s="252"/>
      <c r="E6" s="253"/>
      <c r="F6" s="253"/>
      <c r="G6" s="254"/>
    </row>
    <row r="7" spans="1:8" s="249" customFormat="1" ht="13.5" customHeight="1">
      <c r="A7" s="932" t="s">
        <v>2327</v>
      </c>
      <c r="B7" s="250" t="s">
        <v>2328</v>
      </c>
      <c r="C7" s="255">
        <f>ROUND(C6*F7,0)</f>
        <v>0</v>
      </c>
      <c r="D7" s="255"/>
      <c r="E7" s="253"/>
      <c r="F7" s="256">
        <f>IF(项目基本情况!B8="出让",0,'数据-取费表'!B48+'数据-取费表'!B49)</f>
        <v>3.0499999999999999E-2</v>
      </c>
      <c r="G7" s="254"/>
    </row>
    <row r="8" spans="1:8" s="258" customFormat="1">
      <c r="A8" s="932" t="s">
        <v>2329</v>
      </c>
      <c r="B8" s="250" t="s">
        <v>2330</v>
      </c>
      <c r="C8" s="255">
        <f ca="1">IF(G8="已包含在土地购买价格中",0,C9+C10)</f>
        <v>253330</v>
      </c>
      <c r="D8" s="257"/>
      <c r="E8" s="255"/>
      <c r="F8" s="256"/>
      <c r="G8" s="2533"/>
    </row>
    <row r="9" spans="1:8" s="249" customFormat="1" ht="13.5" customHeight="1">
      <c r="A9" s="933" t="s">
        <v>800</v>
      </c>
      <c r="B9" s="259" t="s">
        <v>2331</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2333</v>
      </c>
      <c r="C10" s="260">
        <f ca="1">ROUND(D10*E10,0)</f>
        <v>253330</v>
      </c>
      <c r="D10" s="1015">
        <f ca="1">IF(B1="",'数据-汇总表'!E6,IF(INDIRECT("'数据-取费表'!c"&amp;$G$1)="住宅",INDIRECT("'数据-取费表'!s"&amp;$G$1),INDIRECT("'数据-取费表'!k"&amp;$G$1)+INDIRECT("'数据-取费表'!s"&amp;$G$1)))</f>
        <v>1266.6499999999999</v>
      </c>
      <c r="E10" s="260">
        <f>'数据-取费表'!B28</f>
        <v>200</v>
      </c>
      <c r="F10" s="256"/>
      <c r="G10" s="261"/>
    </row>
    <row r="11" spans="1:8" s="249" customFormat="1" ht="13.5" hidden="1" customHeight="1">
      <c r="A11" s="262" t="s">
        <v>7</v>
      </c>
      <c r="B11" s="250" t="s">
        <v>2334</v>
      </c>
      <c r="C11" s="246"/>
      <c r="D11" s="1017"/>
      <c r="E11" s="253"/>
      <c r="F11" s="253"/>
      <c r="G11" s="254"/>
    </row>
    <row r="12" spans="1:8" s="249" customFormat="1" ht="13.5" hidden="1" customHeight="1">
      <c r="A12" s="262" t="s">
        <v>8</v>
      </c>
      <c r="B12" s="250" t="s">
        <v>2417</v>
      </c>
      <c r="C12" s="246">
        <v>0</v>
      </c>
      <c r="D12" s="1017"/>
      <c r="E12" s="263"/>
      <c r="F12" s="256">
        <v>3.0499999999999999E-2</v>
      </c>
      <c r="G12" s="254"/>
    </row>
    <row r="13" spans="1:8" s="249" customFormat="1" ht="13.5" hidden="1" customHeight="1">
      <c r="A13" s="262" t="s">
        <v>9</v>
      </c>
      <c r="B13" s="250" t="s">
        <v>2418</v>
      </c>
      <c r="C13" s="246"/>
      <c r="D13" s="1017"/>
      <c r="E13" s="253"/>
      <c r="F13" s="253"/>
      <c r="G13" s="254"/>
    </row>
    <row r="14" spans="1:8" s="249" customFormat="1" ht="13.5" hidden="1" customHeight="1">
      <c r="A14" s="262" t="s">
        <v>10</v>
      </c>
      <c r="B14" s="250" t="s">
        <v>2330</v>
      </c>
      <c r="C14" s="246"/>
      <c r="D14" s="1017"/>
      <c r="E14" s="253"/>
      <c r="F14" s="253"/>
      <c r="G14" s="254" t="s">
        <v>2419</v>
      </c>
    </row>
    <row r="15" spans="1:8" s="249" customFormat="1" ht="13.5" hidden="1" customHeight="1">
      <c r="A15" s="262" t="s">
        <v>11</v>
      </c>
      <c r="B15" s="250" t="s">
        <v>2420</v>
      </c>
      <c r="C15" s="255"/>
      <c r="D15" s="1017"/>
      <c r="E15" s="253"/>
      <c r="F15" s="253"/>
      <c r="G15" s="254" t="s">
        <v>2421</v>
      </c>
    </row>
    <row r="16" spans="1:8" s="249" customFormat="1" ht="13.5" hidden="1" customHeight="1">
      <c r="A16" s="262" t="s">
        <v>12</v>
      </c>
      <c r="B16" s="250" t="s">
        <v>2330</v>
      </c>
      <c r="C16" s="255"/>
      <c r="D16" s="1017"/>
      <c r="E16" s="253"/>
      <c r="F16" s="253"/>
      <c r="G16" s="254"/>
    </row>
    <row r="17" spans="1:7" s="249" customFormat="1" ht="13.5" hidden="1" customHeight="1">
      <c r="A17" s="262" t="s">
        <v>13</v>
      </c>
      <c r="B17" s="250" t="s">
        <v>2422</v>
      </c>
      <c r="C17" s="264"/>
      <c r="D17" s="1018"/>
      <c r="E17" s="264"/>
      <c r="F17" s="264"/>
      <c r="G17" s="254" t="s">
        <v>2421</v>
      </c>
    </row>
    <row r="18" spans="1:7" s="249" customFormat="1" ht="13.5" hidden="1" customHeight="1">
      <c r="A18" s="262" t="s">
        <v>14</v>
      </c>
      <c r="B18" s="250" t="s">
        <v>2423</v>
      </c>
      <c r="C18" s="255">
        <v>0</v>
      </c>
      <c r="D18" s="1017"/>
      <c r="E18" s="253"/>
      <c r="F18" s="256">
        <v>3.0499999999999999E-2</v>
      </c>
      <c r="G18" s="254" t="s">
        <v>2424</v>
      </c>
    </row>
    <row r="19" spans="1:7" s="258" customFormat="1" ht="13.5" customHeight="1">
      <c r="A19" s="290" t="s">
        <v>2425</v>
      </c>
      <c r="B19" s="245" t="s">
        <v>2426</v>
      </c>
      <c r="C19" s="246">
        <f ca="1">IF(G19="已包含在土地取得成本中","0",ROUND(D19*E19,0))</f>
        <v>253330</v>
      </c>
      <c r="D19" s="1019">
        <f ca="1">D9+D10</f>
        <v>1266.6499999999999</v>
      </c>
      <c r="E19" s="246">
        <f>'数据-取费表'!B31</f>
        <v>200</v>
      </c>
      <c r="F19" s="266"/>
      <c r="G19" s="2533"/>
    </row>
    <row r="20" spans="1:7" s="249" customFormat="1" ht="13.5" customHeight="1">
      <c r="A20" s="290" t="s">
        <v>2427</v>
      </c>
      <c r="B20" s="245" t="s">
        <v>2428</v>
      </c>
      <c r="C20" s="267">
        <f ca="1">ROUND((C5+C19)*F20,0)</f>
        <v>10133</v>
      </c>
      <c r="D20" s="267"/>
      <c r="E20" s="267"/>
      <c r="F20" s="268">
        <f>'数据-取费表'!B37</f>
        <v>0.02</v>
      </c>
      <c r="G20" s="269" t="s">
        <v>2429</v>
      </c>
    </row>
    <row r="21" spans="1:7" s="249" customFormat="1" ht="13.5" customHeight="1">
      <c r="A21" s="290" t="s">
        <v>2430</v>
      </c>
      <c r="B21" s="245" t="s">
        <v>2431</v>
      </c>
      <c r="C21" s="270">
        <f>F21</f>
        <v>0.02</v>
      </c>
      <c r="D21" s="271" t="s">
        <v>2432</v>
      </c>
      <c r="E21" s="267"/>
      <c r="F21" s="268">
        <f>'数据-取费表'!B38</f>
        <v>0.02</v>
      </c>
      <c r="G21" s="269" t="s">
        <v>2433</v>
      </c>
    </row>
    <row r="22" spans="1:7" s="249" customFormat="1" ht="13.5" customHeight="1">
      <c r="A22" s="290" t="s">
        <v>2434</v>
      </c>
      <c r="B22" s="245" t="s">
        <v>2435</v>
      </c>
      <c r="C22" s="1363">
        <f ca="1">ROUND(SUM(C23:C25),0)</f>
        <v>46551</v>
      </c>
      <c r="D22" s="270">
        <f ca="1">C26</f>
        <v>1E-3</v>
      </c>
      <c r="E22" s="271" t="s">
        <v>2432</v>
      </c>
      <c r="F22" s="272">
        <f ca="1">'数据-取费表'!B40</f>
        <v>4.7500000000000001E-2</v>
      </c>
      <c r="G22" s="269" t="str">
        <f>IF('数据-取费表'!B22&lt;=1,"单利计息","复利计息")</f>
        <v>复利计息</v>
      </c>
    </row>
    <row r="23" spans="1:7" s="249" customFormat="1" ht="13.5" customHeight="1">
      <c r="A23" s="934" t="s">
        <v>2325</v>
      </c>
      <c r="B23" s="250" t="s">
        <v>2436</v>
      </c>
      <c r="C23" s="1364">
        <f ca="1">ROUND(IF('数据-取费表'!B22&lt;=1,C5*F22*'数据-取费表'!B22,C5*(POWER((1+F22),'数据-取费表'!B22)-1)),0)</f>
        <v>24638</v>
      </c>
      <c r="D23" s="273"/>
      <c r="E23" s="273"/>
      <c r="F23" s="274"/>
      <c r="G23" s="275" t="s">
        <v>2437</v>
      </c>
    </row>
    <row r="24" spans="1:7" s="249" customFormat="1" ht="13.5" customHeight="1">
      <c r="A24" s="934" t="s">
        <v>2327</v>
      </c>
      <c r="B24" s="250" t="s">
        <v>2438</v>
      </c>
      <c r="C24" s="1364">
        <f ca="1">ROUND(IF('数据-取费表'!B22&lt;=1,C19*F22*('数据-取费表'!B19/2+'数据-取费表'!B20),C19*(POWER((1+F22),('数据-取费表'!B19/2+'数据-取费表'!B20))-1)),0)</f>
        <v>21432</v>
      </c>
      <c r="D24" s="273"/>
      <c r="E24" s="273"/>
      <c r="F24" s="274"/>
      <c r="G24" s="275" t="s">
        <v>2439</v>
      </c>
    </row>
    <row r="25" spans="1:7" s="249" customFormat="1" ht="24">
      <c r="A25" s="934" t="s">
        <v>2329</v>
      </c>
      <c r="B25" s="250" t="s">
        <v>2440</v>
      </c>
      <c r="C25" s="1364">
        <f ca="1">ROUND(IF('数据-取费表'!B22&lt;=1,C20*F22*'数据-取费表'!B22/2,C20*(POWER((1+F22),'数据-取费表'!B22/2)-1)),0)</f>
        <v>481</v>
      </c>
      <c r="D25" s="273"/>
      <c r="E25" s="276"/>
      <c r="F25" s="274"/>
      <c r="G25" s="277" t="s">
        <v>2441</v>
      </c>
    </row>
    <row r="26" spans="1:7" s="249" customFormat="1">
      <c r="A26" s="934" t="s">
        <v>795</v>
      </c>
      <c r="B26" s="250" t="s">
        <v>2364</v>
      </c>
      <c r="C26" s="273">
        <f ca="1">ROUND(IF('数据-取费表'!B22&lt;=1,F21*F22*'数据-取费表'!B22/2,F21*(POWER((1+F22),'数据-取费表'!B22/2)-1)),4)</f>
        <v>1E-3</v>
      </c>
      <c r="D26" s="273"/>
      <c r="E26" s="276"/>
      <c r="F26" s="274"/>
      <c r="G26" s="278"/>
    </row>
    <row r="27" spans="1:7" s="249" customFormat="1" ht="24.75">
      <c r="A27" s="290" t="s">
        <v>2365</v>
      </c>
      <c r="B27" s="279" t="s">
        <v>2366</v>
      </c>
      <c r="C27" s="280">
        <f ca="1">C28</f>
        <v>129198</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ROUND((C5+C19+C20)*F27,0)</f>
        <v>129198</v>
      </c>
      <c r="D28" s="270"/>
      <c r="E28" s="271"/>
      <c r="F28" s="281"/>
      <c r="G28" s="282"/>
    </row>
    <row r="29" spans="1:7" s="249" customFormat="1" ht="13.5" customHeight="1">
      <c r="A29" s="934" t="s">
        <v>792</v>
      </c>
      <c r="B29" s="283" t="s">
        <v>2370</v>
      </c>
      <c r="C29" s="273">
        <f ca="1">ROUND(C21*F27,4)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752191</v>
      </c>
      <c r="D31" s="265"/>
      <c r="E31" s="246"/>
      <c r="F31" s="285"/>
      <c r="G31" s="269" t="s">
        <v>2375</v>
      </c>
    </row>
    <row r="32" spans="1:7" s="243" customFormat="1" ht="15.75">
      <c r="A32" s="287" t="s">
        <v>2442</v>
      </c>
      <c r="B32" s="288"/>
      <c r="C32" s="288"/>
      <c r="D32" s="288"/>
      <c r="E32" s="288"/>
      <c r="F32" s="288"/>
      <c r="G32" s="289"/>
    </row>
    <row r="33" spans="1:7" s="249" customFormat="1" ht="13.5" customHeight="1">
      <c r="A33" s="290" t="s">
        <v>782</v>
      </c>
      <c r="B33" s="245" t="s">
        <v>2443</v>
      </c>
      <c r="C33" s="291">
        <f ca="1">SUM(C34:C38)</f>
        <v>3959548</v>
      </c>
      <c r="D33" s="267"/>
      <c r="E33" s="247"/>
      <c r="F33" s="276"/>
      <c r="G33" s="269"/>
    </row>
    <row r="34" spans="1:7" s="293" customFormat="1" ht="13.5" customHeight="1">
      <c r="A34" s="934" t="s">
        <v>791</v>
      </c>
      <c r="B34" s="250" t="s">
        <v>2378</v>
      </c>
      <c r="C34" s="255">
        <f ca="1">ROUND(IF(B1="",SUMPRODUCT('数据-取费表'!K6:K14,'数据-取费表'!L6:L14),INDIRECT("'数据-取费表'!l"&amp;$G$1)*INDIRECT("'数据-取费表'!k"&amp;$G$1)+'数据-取费表'!L14*INDIRECT("'数据-取费表'!S"&amp;$G$1)),0)</f>
        <v>3546620</v>
      </c>
      <c r="D34" s="252"/>
      <c r="E34" s="255"/>
      <c r="F34" s="292"/>
      <c r="G34" s="254"/>
    </row>
    <row r="35" spans="1:7" ht="13.5" customHeight="1">
      <c r="A35" s="934" t="s">
        <v>796</v>
      </c>
      <c r="B35" s="250" t="s">
        <v>2380</v>
      </c>
      <c r="C35" s="255">
        <f ca="1">ROUND(C34*F35,0)</f>
        <v>106399</v>
      </c>
      <c r="D35" s="255"/>
      <c r="E35" s="255"/>
      <c r="F35" s="294">
        <f>'数据-取费表'!B33</f>
        <v>0.03</v>
      </c>
      <c r="G35" s="254" t="s">
        <v>2381</v>
      </c>
    </row>
    <row r="36" spans="1:7" ht="24">
      <c r="A36" s="934" t="s">
        <v>797</v>
      </c>
      <c r="B36" s="250" t="s">
        <v>2382</v>
      </c>
      <c r="C36" s="255">
        <f ca="1">ROUND(IF(B1="",SUM('数据-取费表'!AP6:AP13)*F36,IF(INDIRECT("'数据-取费表'!c"&amp;$G$1)="住宅",INDIRECT("'数据-取费表'!k"&amp;$G$1)*INDIRECT("'数据-取费表'!l"&amp;$G$1)*F36,0)),0)</f>
        <v>0</v>
      </c>
      <c r="D36" s="255"/>
      <c r="E36" s="255"/>
      <c r="F36" s="294">
        <f>'数据-取费表'!B34</f>
        <v>0</v>
      </c>
      <c r="G36" s="295" t="s">
        <v>2383</v>
      </c>
    </row>
    <row r="37" spans="1:7" s="293" customFormat="1" ht="13.5" customHeight="1">
      <c r="A37" s="934" t="s">
        <v>798</v>
      </c>
      <c r="B37" s="250" t="s">
        <v>2384</v>
      </c>
      <c r="C37" s="284">
        <f ca="1">ROUND(E37*D37,0)</f>
        <v>253330</v>
      </c>
      <c r="D37" s="252">
        <f ca="1">D19</f>
        <v>1266.6499999999999</v>
      </c>
      <c r="E37" s="284">
        <f>'数据-取费表'!B35</f>
        <v>200</v>
      </c>
      <c r="F37" s="294"/>
      <c r="G37" s="296"/>
    </row>
    <row r="38" spans="1:7" ht="13.5" customHeight="1">
      <c r="A38" s="934" t="s">
        <v>799</v>
      </c>
      <c r="B38" s="250" t="s">
        <v>2386</v>
      </c>
      <c r="C38" s="255">
        <f ca="1">ROUND(C34*F38,0)</f>
        <v>53199</v>
      </c>
      <c r="D38" s="255"/>
      <c r="E38" s="255"/>
      <c r="F38" s="294">
        <f>'数据-取费表'!B36</f>
        <v>1.4999999999999999E-2</v>
      </c>
      <c r="G38" s="254" t="s">
        <v>2381</v>
      </c>
    </row>
    <row r="39" spans="1:7" s="249" customFormat="1" ht="13.5" customHeight="1">
      <c r="A39" s="290" t="s">
        <v>2387</v>
      </c>
      <c r="B39" s="245" t="s">
        <v>2388</v>
      </c>
      <c r="C39" s="267">
        <f ca="1">ROUND(C33*F20,0)</f>
        <v>79191</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143043</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ROUND(IF('数据-取费表'!B22&lt;=1,C33*F22*'数据-取费表'!B20/2,C33*(POWER((1+F22),'数据-取费表'!B20/2)-1)),0)</f>
        <v>140238</v>
      </c>
      <c r="D42" s="273"/>
      <c r="E42" s="273"/>
      <c r="F42" s="274"/>
      <c r="G42" s="3193" t="s">
        <v>2444</v>
      </c>
    </row>
    <row r="43" spans="1:7" ht="13.5" customHeight="1">
      <c r="A43" s="934" t="s">
        <v>792</v>
      </c>
      <c r="B43" s="250" t="s">
        <v>2398</v>
      </c>
      <c r="C43" s="273">
        <f ca="1">ROUND(IF('数据-取费表'!B22&lt;=1,C39*F22*'数据-取费表'!B20/2,C39*(POWER((1+F22),'数据-取费表'!B20/2)-1)),0)</f>
        <v>2805</v>
      </c>
      <c r="D43" s="273"/>
      <c r="E43" s="273"/>
      <c r="F43" s="274"/>
      <c r="G43" s="3194"/>
    </row>
    <row r="44" spans="1:7" ht="13.5" customHeight="1">
      <c r="A44" s="934" t="s">
        <v>793</v>
      </c>
      <c r="B44" s="250" t="s">
        <v>2399</v>
      </c>
      <c r="C44" s="273">
        <f ca="1">ROUND(IF('数据-取费表'!B22&lt;=1,C40*F22*'数据-取费表'!B20/2,C40*(POWER((1+F22),'数据-取费表'!B20/2)-1)),4)</f>
        <v>6.9999999999999999E-4</v>
      </c>
      <c r="D44" s="273"/>
      <c r="E44" s="273"/>
      <c r="F44" s="274"/>
      <c r="G44" s="3195"/>
    </row>
    <row r="45" spans="1:7" s="249" customFormat="1" ht="13.5" customHeight="1">
      <c r="A45" s="290" t="s">
        <v>2400</v>
      </c>
      <c r="B45" s="279" t="s">
        <v>2366</v>
      </c>
      <c r="C45" s="280">
        <f ca="1">C46</f>
        <v>1009685</v>
      </c>
      <c r="D45" s="270">
        <f ca="1">C47</f>
        <v>5.0000000000000001E-3</v>
      </c>
      <c r="E45" s="271" t="s">
        <v>2392</v>
      </c>
      <c r="F45" s="281"/>
      <c r="G45" s="282" t="s">
        <v>2401</v>
      </c>
    </row>
    <row r="46" spans="1:7" s="249" customFormat="1" ht="13.5" customHeight="1">
      <c r="A46" s="934" t="s">
        <v>791</v>
      </c>
      <c r="B46" s="283" t="s">
        <v>2402</v>
      </c>
      <c r="C46" s="284">
        <f ca="1">ROUND((C33+C39)*F27,0)</f>
        <v>1009685</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297">
        <f>ROUND(F30/(1+'数据-取费表'!C42),4)</f>
        <v>5.33E-2</v>
      </c>
      <c r="D48" s="271" t="s">
        <v>2392</v>
      </c>
      <c r="E48" s="267"/>
      <c r="F48" s="272"/>
      <c r="G48" s="269" t="s">
        <v>2405</v>
      </c>
    </row>
    <row r="49" spans="1:7" ht="16.5" customHeight="1">
      <c r="A49" s="290" t="s">
        <v>2371</v>
      </c>
      <c r="B49" s="245" t="s">
        <v>2445</v>
      </c>
      <c r="C49" s="267">
        <f ca="1">ROUND((C33+C39+C41+C45)/(1-C40-D41-D45-C48),0)</f>
        <v>5636772</v>
      </c>
      <c r="D49" s="267"/>
      <c r="E49" s="267"/>
      <c r="F49" s="299"/>
      <c r="G49" s="269" t="s">
        <v>2407</v>
      </c>
    </row>
    <row r="50" spans="1:7" s="293" customFormat="1">
      <c r="A50" s="290" t="s">
        <v>2408</v>
      </c>
      <c r="B50" s="245" t="s">
        <v>2409</v>
      </c>
      <c r="C50" s="267"/>
      <c r="D50" s="267"/>
      <c r="E50" s="267"/>
      <c r="F50" s="299">
        <f>IF('数据-取费表'!B24=0,'数据-取费表'!N16,1)</f>
        <v>0.78</v>
      </c>
      <c r="G50" s="282"/>
    </row>
    <row r="51" spans="1:7" ht="16.5" customHeight="1">
      <c r="A51" s="290" t="s">
        <v>2411</v>
      </c>
      <c r="B51" s="245" t="s">
        <v>2446</v>
      </c>
      <c r="C51" s="267">
        <f ca="1">ROUND(C49*F50,0)</f>
        <v>4396682</v>
      </c>
      <c r="D51" s="267"/>
      <c r="E51" s="267"/>
      <c r="F51" s="299"/>
      <c r="G51" s="269" t="s">
        <v>2413</v>
      </c>
    </row>
    <row r="52" spans="1:7" s="243" customFormat="1" ht="16.5" thickBot="1">
      <c r="A52" s="300" t="s">
        <v>2414</v>
      </c>
      <c r="B52" s="301"/>
      <c r="C52" s="302">
        <f ca="1">C31+C51</f>
        <v>5148873</v>
      </c>
      <c r="D52" s="301"/>
      <c r="E52" s="301"/>
      <c r="F52" s="301"/>
      <c r="G52" s="303"/>
    </row>
    <row r="55" spans="1:7" ht="15">
      <c r="B55" s="305" t="s">
        <v>2415</v>
      </c>
      <c r="C55" s="306"/>
    </row>
    <row r="56" spans="1:7">
      <c r="B56" s="308" t="s">
        <v>1507</v>
      </c>
      <c r="C56" s="310">
        <f ca="1">1-C57</f>
        <v>0.14600000000000002</v>
      </c>
    </row>
    <row r="57" spans="1:7">
      <c r="B57" s="308" t="s">
        <v>1508</v>
      </c>
      <c r="C57" s="309">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1" customWidth="1"/>
    <col min="2" max="2" width="25.75" style="935" customWidth="1"/>
    <col min="3" max="3" width="10.375" style="978" customWidth="1"/>
    <col min="4" max="4" width="9.875" style="935" customWidth="1"/>
    <col min="5" max="5" width="9.5" style="781" customWidth="1"/>
    <col min="6" max="6" width="10.125" style="935" customWidth="1"/>
    <col min="7" max="7" width="10.75" style="935" customWidth="1"/>
    <col min="8" max="8" width="10" style="935" customWidth="1"/>
    <col min="9" max="11" width="9.5" style="935" customWidth="1"/>
    <col min="12" max="12" width="9" style="935" customWidth="1"/>
    <col min="13" max="13" width="10.5" style="935" bestFit="1" customWidth="1"/>
    <col min="14" max="254" width="9" style="935" customWidth="1"/>
    <col min="255" max="16384" width="6.625" style="935"/>
  </cols>
  <sheetData>
    <row r="1" spans="1:33" ht="20.25">
      <c r="A1" s="231" t="s">
        <v>2447</v>
      </c>
      <c r="B1" s="1564"/>
      <c r="C1" s="1565"/>
      <c r="D1" s="1563"/>
      <c r="E1" s="311"/>
      <c r="F1" s="311"/>
      <c r="G1" s="1564"/>
      <c r="H1" s="311"/>
      <c r="I1" s="311"/>
      <c r="J1" s="311"/>
      <c r="K1" s="311">
        <f>MATCH(C1,'数据-取费表'!A6:A16,0)+5</f>
        <v>8</v>
      </c>
    </row>
    <row r="2" spans="1:33" ht="18" customHeight="1">
      <c r="A2" s="236" t="s">
        <v>2315</v>
      </c>
      <c r="B2" s="239">
        <f ca="1">C32</f>
        <v>-28</v>
      </c>
      <c r="C2" s="311" t="s">
        <v>2448</v>
      </c>
      <c r="D2" s="311"/>
      <c r="E2" s="311"/>
      <c r="F2" s="311"/>
      <c r="G2" s="311"/>
      <c r="H2" s="311"/>
      <c r="I2" s="311"/>
      <c r="J2" s="311"/>
      <c r="K2" s="311"/>
    </row>
    <row r="3" spans="1:33" ht="18" customHeight="1" thickBot="1">
      <c r="A3" s="238" t="s">
        <v>2317</v>
      </c>
      <c r="B3" s="239">
        <f ca="1">ROUND(B2*10000/IF(C1="",'数据-汇总表'!E3,INDIRECT("'数据-取费表'!K"&amp;$K$1)),0)</f>
        <v>-221</v>
      </c>
      <c r="C3" s="311" t="s">
        <v>2449</v>
      </c>
      <c r="D3" s="311"/>
      <c r="E3" s="311"/>
      <c r="F3" s="311"/>
      <c r="G3" s="311"/>
      <c r="H3" s="311"/>
      <c r="I3" s="311"/>
      <c r="J3" s="311"/>
      <c r="K3" s="311"/>
    </row>
    <row r="4" spans="1:33" s="939" customFormat="1" ht="16.5" customHeight="1">
      <c r="A4" s="936" t="s">
        <v>2450</v>
      </c>
      <c r="B4" s="937"/>
      <c r="C4" s="979">
        <f>SUM(C8:K8)</f>
        <v>0</v>
      </c>
      <c r="D4" s="937"/>
      <c r="E4" s="937"/>
      <c r="F4" s="937"/>
      <c r="G4" s="937"/>
      <c r="H4" s="937"/>
      <c r="I4" s="937"/>
      <c r="J4" s="937"/>
      <c r="K4" s="938"/>
    </row>
    <row r="5" spans="1:33" s="943" customFormat="1" ht="24.75">
      <c r="A5" s="940" t="s">
        <v>2451</v>
      </c>
      <c r="B5" s="941" t="s">
        <v>2452</v>
      </c>
      <c r="C5" s="2537" t="s">
        <v>2453</v>
      </c>
      <c r="D5" s="2537" t="s">
        <v>2454</v>
      </c>
      <c r="E5" s="2537" t="s">
        <v>2455</v>
      </c>
      <c r="F5" s="2537"/>
      <c r="G5" s="2537"/>
      <c r="H5" s="2537"/>
      <c r="I5" s="2537"/>
      <c r="J5" s="2537"/>
      <c r="K5" s="2537"/>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2456</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2457</v>
      </c>
      <c r="B7" s="131" t="s">
        <v>2458</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8" t="s">
        <v>2459</v>
      </c>
      <c r="B8" s="168" t="s">
        <v>2460</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2461</v>
      </c>
      <c r="B9" s="937"/>
      <c r="C9" s="937"/>
      <c r="D9" s="937"/>
      <c r="E9" s="937"/>
      <c r="F9" s="937"/>
      <c r="G9" s="937"/>
      <c r="H9" s="937"/>
      <c r="I9" s="937"/>
      <c r="J9" s="937"/>
      <c r="K9" s="938"/>
    </row>
    <row r="10" spans="1:33" s="953" customFormat="1" ht="13.5" customHeight="1">
      <c r="A10" s="940" t="s">
        <v>2462</v>
      </c>
      <c r="B10" s="8" t="s">
        <v>2463</v>
      </c>
      <c r="C10" s="949" t="s">
        <v>2464</v>
      </c>
      <c r="D10" s="950" t="s">
        <v>2465</v>
      </c>
      <c r="E10" s="950" t="s">
        <v>2466</v>
      </c>
      <c r="F10" s="950" t="s">
        <v>2467</v>
      </c>
      <c r="G10" s="8"/>
      <c r="H10" s="951"/>
      <c r="I10" s="951"/>
      <c r="J10" s="951"/>
      <c r="K10" s="952"/>
    </row>
    <row r="11" spans="1:33" s="958" customFormat="1" ht="13.5" customHeight="1">
      <c r="A11" s="954" t="s">
        <v>1329</v>
      </c>
      <c r="B11" s="955" t="s">
        <v>2468</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2469</v>
      </c>
      <c r="C12" s="24">
        <f ca="1">ROUND(C11*F12,0)</f>
        <v>0</v>
      </c>
      <c r="D12" s="956"/>
      <c r="E12" s="366"/>
      <c r="F12" s="959">
        <f>'数据-取费表'!B33</f>
        <v>0.03</v>
      </c>
      <c r="G12" s="8" t="s">
        <v>2470</v>
      </c>
      <c r="H12" s="951"/>
      <c r="I12" s="951"/>
      <c r="J12" s="951"/>
      <c r="K12" s="952"/>
    </row>
    <row r="13" spans="1:33" s="958" customFormat="1" ht="13.5" customHeight="1">
      <c r="A13" s="954" t="s">
        <v>1331</v>
      </c>
      <c r="B13" s="955" t="s">
        <v>2471</v>
      </c>
      <c r="C13" s="24">
        <f ca="1">ROUND(IF(C1="",SUMIF('数据-取费表'!C:C,"住宅",'数据-取费表'!P:P)*F13,IF(INDIRECT("'数据-取费表'!c"&amp;$K$1)="住宅",INDIRECT("'数据-取费表'!P"&amp;$K$1)*F13,0)),0)</f>
        <v>0</v>
      </c>
      <c r="D13" s="1016"/>
      <c r="E13" s="366"/>
      <c r="F13" s="959">
        <f>'数据-取费表'!B34</f>
        <v>0</v>
      </c>
      <c r="G13" s="8" t="s">
        <v>2472</v>
      </c>
      <c r="H13" s="951"/>
      <c r="I13" s="951"/>
      <c r="J13" s="951"/>
      <c r="K13" s="952"/>
    </row>
    <row r="14" spans="1:33" s="960" customFormat="1" ht="13.5" customHeight="1">
      <c r="A14" s="954" t="s">
        <v>1332</v>
      </c>
      <c r="B14" s="955" t="s">
        <v>2473</v>
      </c>
      <c r="C14" s="24">
        <f ca="1">ROUND(D14*E14*F11/10000,0)</f>
        <v>0</v>
      </c>
      <c r="D14" s="1016">
        <f ca="1">IF(C1="",'数据-汇总表'!E3,INDIRECT("'数据-取费表'!K"&amp;$K$1)+INDIRECT("'数据-取费表'!S"&amp;$K$1))</f>
        <v>1266.6499999999999</v>
      </c>
      <c r="E14" s="24">
        <f>'数据-取费表'!B35</f>
        <v>200</v>
      </c>
      <c r="F14" s="959"/>
      <c r="G14" s="8" t="s">
        <v>2474</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2475</v>
      </c>
      <c r="C15" s="966">
        <f ca="1">ROUND(C11*F15,0)</f>
        <v>0</v>
      </c>
      <c r="D15" s="961"/>
      <c r="E15" s="966"/>
      <c r="F15" s="967">
        <f>'数据-取费表'!B36</f>
        <v>1.4999999999999999E-2</v>
      </c>
      <c r="G15" s="131" t="s">
        <v>2476</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2477</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2478</v>
      </c>
      <c r="C17" s="24">
        <f ca="1">ROUND(D17*E17/10000,0)</f>
        <v>0</v>
      </c>
      <c r="D17" s="1016">
        <f ca="1">D14</f>
        <v>1266.6499999999999</v>
      </c>
      <c r="E17" s="24">
        <f>'数据-取费表'!B32</f>
        <v>0</v>
      </c>
      <c r="F17" s="961"/>
      <c r="G17" s="131" t="s">
        <v>2479</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2480</v>
      </c>
      <c r="C18" s="24">
        <f ca="1">C19+C20-IF(C1="",'数据-取费表'!B29,IF(G18="已全部缴纳",C19+C20,H18))</f>
        <v>22.48</v>
      </c>
      <c r="D18" s="1016"/>
      <c r="E18" s="24"/>
      <c r="F18" s="959"/>
      <c r="G18" s="2539"/>
      <c r="H18" s="1560"/>
      <c r="I18" s="2540" t="s">
        <v>2481</v>
      </c>
      <c r="J18" s="962"/>
      <c r="K18" s="963"/>
    </row>
    <row r="19" spans="1:33" s="958" customFormat="1" ht="13.5" customHeight="1">
      <c r="A19" s="954" t="s">
        <v>805</v>
      </c>
      <c r="B19" s="955" t="s">
        <v>2482</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2483</v>
      </c>
      <c r="C20" s="24">
        <f ca="1">ROUND(D20*E20/10000,0)</f>
        <v>25</v>
      </c>
      <c r="D20" s="1016">
        <f ca="1">IF(C1="",'数据-汇总表'!E6,IF(INDIRECT("'数据-取费表'!c"&amp;$K$1)="住宅",INDIRECT("'数据-取费表'!s"&amp;$K$1),INDIRECT("'数据-取费表'!k"&amp;$K$1)+INDIRECT("'数据-取费表'!s"&amp;$K$1)))</f>
        <v>1266.6499999999999</v>
      </c>
      <c r="E20" s="24">
        <f>'数据-取费表'!B28</f>
        <v>200</v>
      </c>
      <c r="F20" s="959"/>
      <c r="G20" s="15"/>
      <c r="H20" s="964"/>
      <c r="I20" s="964"/>
      <c r="J20" s="964"/>
      <c r="K20" s="965"/>
    </row>
    <row r="21" spans="1:33" s="958" customFormat="1" ht="13.5" customHeight="1">
      <c r="A21" s="944" t="s">
        <v>802</v>
      </c>
      <c r="B21" s="968" t="s">
        <v>2484</v>
      </c>
      <c r="C21" s="969">
        <f ca="1">C16+C17+C18</f>
        <v>22.48</v>
      </c>
      <c r="D21" s="970"/>
      <c r="E21" s="316"/>
      <c r="F21" s="316"/>
      <c r="G21" s="131" t="s">
        <v>2485</v>
      </c>
      <c r="H21" s="962"/>
      <c r="I21" s="962"/>
      <c r="J21" s="962"/>
      <c r="K21" s="963"/>
    </row>
    <row r="22" spans="1:33" s="958" customFormat="1" ht="13.5" customHeight="1">
      <c r="A22" s="944" t="s">
        <v>2457</v>
      </c>
      <c r="B22" s="968" t="s">
        <v>2486</v>
      </c>
      <c r="C22" s="969">
        <f ca="1">ROUND(C21*F22,0)</f>
        <v>0</v>
      </c>
      <c r="D22" s="316"/>
      <c r="E22" s="316"/>
      <c r="F22" s="971">
        <f>'数据-取费表'!B37</f>
        <v>0.02</v>
      </c>
      <c r="G22" s="8" t="s">
        <v>2487</v>
      </c>
      <c r="H22" s="951"/>
      <c r="I22" s="951"/>
      <c r="J22" s="951"/>
      <c r="K22" s="952"/>
    </row>
    <row r="23" spans="1:33" s="958" customFormat="1" ht="13.5" customHeight="1">
      <c r="A23" s="944" t="s">
        <v>2459</v>
      </c>
      <c r="B23" s="968" t="s">
        <v>2488</v>
      </c>
      <c r="C23" s="969">
        <f ca="1">ROUND(C4*F23*F11,0)</f>
        <v>0</v>
      </c>
      <c r="D23" s="316"/>
      <c r="E23" s="316"/>
      <c r="F23" s="971">
        <f>'数据-取费表'!B38</f>
        <v>0.02</v>
      </c>
      <c r="G23" s="8" t="s">
        <v>2489</v>
      </c>
      <c r="H23" s="951"/>
      <c r="I23" s="951"/>
      <c r="J23" s="951"/>
      <c r="K23" s="952"/>
    </row>
    <row r="24" spans="1:33" s="958" customFormat="1" ht="13.5" customHeight="1">
      <c r="A24" s="944" t="s">
        <v>2490</v>
      </c>
      <c r="B24" s="968" t="s">
        <v>2491</v>
      </c>
      <c r="C24" s="315">
        <f>ROUND(F24/(1+'数据-取费表'!C42),4)</f>
        <v>2.9000000000000001E-2</v>
      </c>
      <c r="D24" s="316" t="s">
        <v>15</v>
      </c>
      <c r="E24" s="316"/>
      <c r="F24" s="971">
        <f>IF(项目基本情况!B8="出让",0,'数据-取费表'!B48+'数据-取费表'!B49)</f>
        <v>3.0499999999999999E-2</v>
      </c>
      <c r="G24" s="8" t="s">
        <v>2492</v>
      </c>
      <c r="H24" s="973"/>
      <c r="I24" s="973"/>
      <c r="J24" s="973"/>
      <c r="K24" s="974"/>
    </row>
    <row r="25" spans="1:33" s="958" customFormat="1" ht="13.5" customHeight="1">
      <c r="A25" s="944" t="s">
        <v>2493</v>
      </c>
      <c r="B25" s="970" t="s">
        <v>2494</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2495</v>
      </c>
      <c r="C26" s="1340">
        <f ca="1">ROUND(IF('数据-取费表'!B22&lt;=1,(1+C24)*F25*'数据-取费表'!B24,(1+C24)*(POWER((1+F25),'数据-取费表'!B24)-1)),4)</f>
        <v>0</v>
      </c>
      <c r="D26" s="319"/>
      <c r="E26" s="320"/>
      <c r="F26" s="321"/>
      <c r="G26" s="2541"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2496</v>
      </c>
      <c r="C27" s="1341">
        <f ca="1">ROUND(IF('数据-取费表'!B22&lt;=1,(C21+C22+C23)*F25*'数据-取费表'!B24/2,(C21+C22+C23)*(POWER((1+F25),'数据-取费表'!B24/2)-1)),0)</f>
        <v>0</v>
      </c>
      <c r="D27" s="319"/>
      <c r="E27" s="320"/>
      <c r="F27" s="321"/>
      <c r="G27" s="2541" t="str">
        <f>IF('数据-取费表'!B22&lt;=1,"（1）-（3）项×年利率×建设期÷2","（1）-（3）项×((1+年利率)^(建设期÷2)-1)")</f>
        <v>（1）-（3）项×((1+年利率)^(建设期÷2)-1)</v>
      </c>
      <c r="H27" s="962"/>
      <c r="I27" s="962"/>
      <c r="J27" s="962"/>
      <c r="K27" s="963"/>
    </row>
    <row r="28" spans="1:33" s="324" customFormat="1" ht="13.5" customHeight="1">
      <c r="A28" s="944" t="s">
        <v>2497</v>
      </c>
      <c r="B28" s="2542" t="s">
        <v>2498</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2499</v>
      </c>
      <c r="C29" s="319">
        <f ca="1">ROUND((1+C24)*F28*'数据-取费表'!B24/'数据-取费表'!B20,4)</f>
        <v>0</v>
      </c>
      <c r="D29" s="319"/>
      <c r="E29" s="320"/>
      <c r="F29" s="325"/>
      <c r="G29" s="131" t="s">
        <v>2500</v>
      </c>
      <c r="H29" s="962"/>
      <c r="I29" s="962"/>
      <c r="J29" s="962"/>
      <c r="K29" s="963"/>
    </row>
    <row r="30" spans="1:33" s="326" customFormat="1" ht="13.5" customHeight="1">
      <c r="A30" s="954" t="s">
        <v>804</v>
      </c>
      <c r="B30" s="977" t="s">
        <v>2501</v>
      </c>
      <c r="C30" s="327">
        <f ca="1">ROUND((C21+C22+C23)*F28,0)</f>
        <v>6</v>
      </c>
      <c r="D30" s="319"/>
      <c r="E30" s="320"/>
      <c r="F30" s="325"/>
      <c r="G30" s="131"/>
      <c r="H30" s="962"/>
      <c r="I30" s="962"/>
      <c r="J30" s="962"/>
      <c r="K30" s="963"/>
    </row>
    <row r="31" spans="1:33" s="958" customFormat="1" ht="13.5" customHeight="1" thickBot="1">
      <c r="A31" s="2543" t="s">
        <v>2502</v>
      </c>
      <c r="B31" s="988" t="s">
        <v>2503</v>
      </c>
      <c r="C31" s="989">
        <f>ROUND(C4*F31/(1+'数据-取费表'!C42),0)</f>
        <v>0</v>
      </c>
      <c r="D31" s="990"/>
      <c r="E31" s="991"/>
      <c r="F31" s="992">
        <f>'数据-取费表'!B41</f>
        <v>5.6000000000000001E-2</v>
      </c>
      <c r="G31" s="993" t="s">
        <v>2504</v>
      </c>
      <c r="H31" s="994"/>
      <c r="I31" s="994"/>
      <c r="J31" s="994"/>
      <c r="K31" s="995"/>
    </row>
    <row r="32" spans="1:33" s="953" customFormat="1" ht="13.5" customHeight="1" thickBot="1">
      <c r="A32" s="983" t="s">
        <v>2505</v>
      </c>
      <c r="B32" s="984"/>
      <c r="C32" s="985">
        <f ca="1">ROUND((C4-C21-C22-C23-C25-C28-C31)/(1+C24+D25+D28),0)</f>
        <v>-28</v>
      </c>
      <c r="D32" s="984"/>
      <c r="E32" s="984"/>
      <c r="F32" s="984"/>
      <c r="G32" s="986" t="s">
        <v>2506</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17" customWidth="1"/>
    <col min="12" max="12" width="16.375" style="293" customWidth="1"/>
    <col min="13" max="13" width="13" style="293"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93"/>
  </cols>
  <sheetData>
    <row r="1" spans="1:37" s="328" customFormat="1" ht="21">
      <c r="A1" s="1816" t="s">
        <v>1583</v>
      </c>
      <c r="B1" s="765"/>
      <c r="C1" s="1820"/>
      <c r="D1" s="1803"/>
      <c r="E1" s="1804" t="s">
        <v>1381</v>
      </c>
      <c r="F1" s="1266">
        <f ca="1">J53</f>
        <v>0</v>
      </c>
      <c r="G1" s="1819">
        <f>MATCH(C1,'数据-取费表'!A6:A16,0)+5</f>
        <v>8</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98" t="s">
        <v>1397</v>
      </c>
      <c r="C6" s="1279">
        <f ca="1">ROUND(F6*F8*F7*(1-F9)/10000,0)</f>
        <v>0</v>
      </c>
      <c r="D6" s="155" t="s">
        <v>3016</v>
      </c>
      <c r="E6" s="338" t="s">
        <v>1399</v>
      </c>
      <c r="F6" s="339">
        <f ca="1">INDIRECT("'数据-取费表'!u"&amp;$G$1)</f>
        <v>0</v>
      </c>
      <c r="G6" s="1834"/>
      <c r="H6" s="1274" t="s">
        <v>1031</v>
      </c>
      <c r="I6" s="3198" t="s">
        <v>1397</v>
      </c>
      <c r="J6" s="337">
        <f ca="1">ROUND(M6*M8*M7*(1-M9)/10000,0)</f>
        <v>0</v>
      </c>
      <c r="K6" s="155" t="s">
        <v>3015</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0</v>
      </c>
      <c r="G7" s="1834"/>
      <c r="H7" s="340"/>
      <c r="I7" s="3199"/>
      <c r="J7" s="342"/>
      <c r="K7" s="343"/>
      <c r="L7" s="338" t="s">
        <v>1400</v>
      </c>
      <c r="M7" s="339">
        <f ca="1">F7</f>
        <v>0</v>
      </c>
    </row>
    <row r="8" spans="1:37" ht="18" customHeight="1">
      <c r="A8" s="340"/>
      <c r="B8" s="3199"/>
      <c r="C8" s="342"/>
      <c r="D8" s="343"/>
      <c r="E8" s="338" t="s">
        <v>1401</v>
      </c>
      <c r="F8" s="339">
        <f ca="1">INDIRECT("'数据-取费表'!ai"&amp;$G$1)</f>
        <v>0</v>
      </c>
      <c r="G8" s="1834"/>
      <c r="H8" s="340"/>
      <c r="I8" s="3199"/>
      <c r="J8" s="342"/>
      <c r="K8" s="343"/>
      <c r="L8" s="338" t="s">
        <v>1401</v>
      </c>
      <c r="M8" s="339">
        <f ca="1">INDIRECT("'数据-取费表'!ai"&amp;$G$1)</f>
        <v>0</v>
      </c>
    </row>
    <row r="9" spans="1:37" ht="18" customHeight="1">
      <c r="A9" s="340"/>
      <c r="B9" s="3200"/>
      <c r="C9" s="342"/>
      <c r="D9" s="343"/>
      <c r="E9" s="338" t="s">
        <v>1402</v>
      </c>
      <c r="F9" s="348">
        <f ca="1">INDIRECT("'数据-取费表'!w"&amp;$G$1)</f>
        <v>0</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3025</v>
      </c>
      <c r="E10" s="349" t="s">
        <v>1404</v>
      </c>
      <c r="F10" s="1349"/>
      <c r="G10" s="1834"/>
      <c r="H10" s="1274" t="s">
        <v>1035</v>
      </c>
      <c r="I10" s="1806" t="s">
        <v>1403</v>
      </c>
      <c r="J10" s="337">
        <f ca="1">ROUND(IF(M10="押一",J6/12*M11,IF(M10="押二",J6/12*2*M11,IF(M10="押三",J6/12*3*M11,J11*M11))),0)</f>
        <v>0</v>
      </c>
      <c r="K10" s="1807" t="s">
        <v>3024</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v>
      </c>
      <c r="G26" s="1834"/>
      <c r="H26" s="335" t="s">
        <v>1028</v>
      </c>
      <c r="I26" s="336" t="s">
        <v>1462</v>
      </c>
      <c r="J26" s="337">
        <f ca="1">IF(J5&lt;&gt;0,ROUND(J25*(1-((1+M28)/(1+M26))^M27)/(M26-M28),0),0)</f>
        <v>0</v>
      </c>
      <c r="K26" s="361" t="s">
        <v>1463</v>
      </c>
      <c r="L26" s="338" t="s">
        <v>1464</v>
      </c>
      <c r="M26" s="348">
        <f ca="1">INDIRECT("'数据-取费表'!I"&amp;$G$1)</f>
        <v>0</v>
      </c>
    </row>
    <row r="27" spans="1:37" ht="18" customHeight="1">
      <c r="A27" s="1184" t="s">
        <v>1032</v>
      </c>
      <c r="B27" s="338" t="s">
        <v>1465</v>
      </c>
      <c r="C27" s="24">
        <f ca="1">ROUND(F21*F26,4)</f>
        <v>0</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t="str">
        <f>IF(项目基本情况!B11="自然人","——",ROUND(C6*F32/(1+'数据-取费表'!C42),2))</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IF(项目基本情况!B11="自然人","——",IF(D33="按租金收入计税",ROUND(C6*F33/(1+'数据-取费表'!C42),2),IF(D33="按房产原值计税",ROUND(C29*F33*0.7,2),INDIRECT("'数据-取费表'!Aj"&amp;$G$1))))</f>
        <v>——</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t="str">
        <f>IF(项目基本情况!B11="自然人","——",ROUND(F34*F35/10000,2))</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t="e">
        <f ca="1">ROUND(C39*(1-((1+F42)/(1+F40))^F41)/(F40-F42),0)</f>
        <v>#DIV/0!</v>
      </c>
      <c r="D40" s="361" t="s">
        <v>1463</v>
      </c>
      <c r="E40" s="338" t="s">
        <v>1464</v>
      </c>
      <c r="F40" s="348">
        <f ca="1">INDIRECT("'数据-取费表'!I"&amp;$G$1)</f>
        <v>0</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5" thickBot="1">
      <c r="A46" s="1853" t="s">
        <v>1514</v>
      </c>
      <c r="C46" s="1854" t="e">
        <f ca="1">C68-C40</f>
        <v>#DIV/0!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5"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t="e">
        <f ca="1">C40+J29</f>
        <v>#DIV/0!</v>
      </c>
      <c r="R47" s="1869" t="s">
        <v>1523</v>
      </c>
    </row>
    <row r="48" spans="1:18" s="1825" customFormat="1" ht="28.5"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5" thickBot="1">
      <c r="A49" s="1177" t="s">
        <v>1132</v>
      </c>
      <c r="B49" s="1812" t="s">
        <v>1484</v>
      </c>
      <c r="C49" s="1347">
        <f ca="1">ROUND(F49*F51*F50*(1-F52)/10000,0)</f>
        <v>0</v>
      </c>
      <c r="D49" s="1259" t="s">
        <v>3017</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5"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5"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5"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24.75" thickBot="1">
      <c r="A53" s="1388" t="s">
        <v>1133</v>
      </c>
      <c r="B53" s="1814" t="s">
        <v>1403</v>
      </c>
      <c r="C53" s="352">
        <f ca="1">ROUND(IF(F53="押一",C49/12*F11,IF(F53="押二",C49/12*2*F11,IF(F53="押三",C49/12*3*F11,C54*F11))),0)</f>
        <v>0</v>
      </c>
      <c r="D53" s="1807" t="s">
        <v>3024</v>
      </c>
      <c r="E53" s="349" t="s">
        <v>1404</v>
      </c>
      <c r="F53" s="1349"/>
      <c r="I53" s="1888" t="s">
        <v>1541</v>
      </c>
      <c r="J53" s="2933">
        <f ca="1">IF(M47="住宅",IF(D1="——",MAX(J51,L48),MAX(J51,L48-'数据-取费表'!B24)),IF(D1="——",MIN(J51,L48),MIN(J51,L48-'数据-取费表'!B24)))</f>
        <v>0</v>
      </c>
      <c r="K53" s="3196" t="s">
        <v>1542</v>
      </c>
      <c r="L53" s="3197"/>
      <c r="O53" s="1867" t="s">
        <v>1042</v>
      </c>
      <c r="P53" s="1868" t="s">
        <v>1543</v>
      </c>
      <c r="Q53" s="1869" t="e">
        <f ca="1">Q47+Q48</f>
        <v>#DIV/0!</v>
      </c>
      <c r="R53" s="1869" t="s">
        <v>1043</v>
      </c>
    </row>
    <row r="54" spans="1:18" s="1825" customFormat="1" ht="13.5"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5"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25.5"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t="e">
        <f ca="1">C40+J29</f>
        <v>#DIV/0!</v>
      </c>
      <c r="R56" s="1869" t="s">
        <v>1523</v>
      </c>
    </row>
    <row r="57" spans="1:18" s="1825" customFormat="1" ht="24.75"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75"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75"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5" thickBot="1">
      <c r="A60" s="1184" t="s">
        <v>1030</v>
      </c>
      <c r="B60" s="1152" t="s">
        <v>1427</v>
      </c>
      <c r="C60" s="24" t="str">
        <f>IF(项目基本情况!B11="自然人","——",ROUND(C48*F60/(1+'数据-取费表'!C42),2))</f>
        <v>——</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5" thickBot="1">
      <c r="A61" s="1184" t="s">
        <v>1486</v>
      </c>
      <c r="B61" s="1152" t="s">
        <v>1487</v>
      </c>
      <c r="C61" s="24" t="str">
        <f ca="1">IF(项目基本情况!B11="自然人","——",IF(D61="按租金收入计税",ROUND(C48*F61,2),IF(D61="按房产原值计税",ROUND(C57*F61*0.7,2),INDIRECT("'数据-取费表'!Aj"&amp;$G$1))))</f>
        <v>——</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5" thickBot="1">
      <c r="A62" s="1184" t="s">
        <v>1489</v>
      </c>
      <c r="B62" s="1151" t="s">
        <v>1490</v>
      </c>
      <c r="C62" s="25" t="str">
        <f>IF(项目基本情况!B11="自然人","——",ROUND(F62*F63/10000,2))</f>
        <v>——</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5"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5"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5"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t="e">
        <f ca="1">C40+J29</f>
        <v>#DIV/0!</v>
      </c>
      <c r="R65" s="1869" t="s">
        <v>1523</v>
      </c>
    </row>
    <row r="66" spans="1:18" s="1825" customFormat="1" ht="16.5"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16.5"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5" thickBot="1">
      <c r="A68" s="1149" t="s">
        <v>1028</v>
      </c>
      <c r="B68" s="1150" t="s">
        <v>1479</v>
      </c>
      <c r="C68" s="337" t="e">
        <f ca="1">ROUND(C67*(1-((1+F70)/(1+F68))^F69)/(F68-F70),0)</f>
        <v>#DIV/0!</v>
      </c>
      <c r="D68" s="1167" t="s">
        <v>1463</v>
      </c>
      <c r="E68" s="1152" t="s">
        <v>1464</v>
      </c>
      <c r="F68" s="348">
        <f ca="1">F40</f>
        <v>0</v>
      </c>
      <c r="O68" s="1877" t="s">
        <v>1039</v>
      </c>
      <c r="P68" s="1916" t="s">
        <v>1577</v>
      </c>
      <c r="Q68" s="1869">
        <f ca="1">ROUND(Q69-Q70*Q71,0)</f>
        <v>0</v>
      </c>
      <c r="R68" s="1869" t="s">
        <v>1047</v>
      </c>
    </row>
    <row r="69" spans="1:18" s="1825" customFormat="1" ht="13.5" thickBot="1">
      <c r="A69" s="1153"/>
      <c r="B69" s="1154"/>
      <c r="C69" s="342"/>
      <c r="D69" s="1172" t="s">
        <v>1467</v>
      </c>
      <c r="E69" s="1152" t="s">
        <v>1468</v>
      </c>
      <c r="F69" s="370">
        <f ca="1">F41</f>
        <v>0</v>
      </c>
      <c r="O69" s="1877" t="s">
        <v>1044</v>
      </c>
      <c r="P69" s="1916" t="s">
        <v>1578</v>
      </c>
      <c r="Q69" s="1869">
        <f ca="1">C39</f>
        <v>0</v>
      </c>
      <c r="R69" s="1869" t="s">
        <v>1523</v>
      </c>
    </row>
    <row r="70" spans="1:18" s="1825" customFormat="1" ht="13.5" thickBot="1">
      <c r="A70" s="1156"/>
      <c r="B70" s="1157"/>
      <c r="C70" s="346"/>
      <c r="D70" s="1168"/>
      <c r="E70" s="1152" t="s">
        <v>1471</v>
      </c>
      <c r="F70" s="1258"/>
      <c r="O70" s="1877" t="s">
        <v>1045</v>
      </c>
      <c r="P70" s="1916" t="s">
        <v>1579</v>
      </c>
      <c r="Q70" s="1869">
        <f ca="1">C13</f>
        <v>0</v>
      </c>
      <c r="R70" s="1869" t="s">
        <v>1523</v>
      </c>
    </row>
    <row r="71" spans="1:18" s="1825" customFormat="1" ht="13.5" thickBot="1">
      <c r="A71" s="1173" t="s">
        <v>1029</v>
      </c>
      <c r="B71" s="1174" t="s">
        <v>1481</v>
      </c>
      <c r="C71" s="373" t="e">
        <f ca="1">ROUND(C68*10000/F71,0)</f>
        <v>#DIV/0!</v>
      </c>
      <c r="D71" s="1175" t="s">
        <v>1482</v>
      </c>
      <c r="E71" s="1176" t="s">
        <v>1483</v>
      </c>
      <c r="F71" s="376">
        <f ca="1">F43</f>
        <v>0</v>
      </c>
      <c r="O71" s="1877" t="s">
        <v>1046</v>
      </c>
      <c r="P71" s="1916" t="s">
        <v>1580</v>
      </c>
      <c r="Q71" s="1880">
        <f ca="1">C76</f>
        <v>0</v>
      </c>
      <c r="R71" s="1869"/>
    </row>
    <row r="72" spans="1:18" s="1825" customFormat="1" ht="13.5" thickBot="1">
      <c r="B72" s="779"/>
      <c r="C72" s="779"/>
      <c r="O72" s="1877" t="s">
        <v>1040</v>
      </c>
      <c r="P72" s="1868" t="s">
        <v>1558</v>
      </c>
      <c r="Q72" s="1880">
        <f>L52</f>
        <v>0</v>
      </c>
      <c r="R72" s="1869"/>
    </row>
    <row r="73" spans="1:18" ht="16.5" thickBot="1">
      <c r="A73" s="1825"/>
      <c r="B73" s="779"/>
      <c r="C73" s="779"/>
      <c r="D73" s="1825"/>
      <c r="E73" s="1825"/>
      <c r="F73" s="1825"/>
      <c r="O73" s="1877" t="s">
        <v>1041</v>
      </c>
      <c r="P73" s="1868" t="s">
        <v>1561</v>
      </c>
      <c r="Q73" s="1869" t="e">
        <f ca="1">L58</f>
        <v>#DIV/0!</v>
      </c>
      <c r="R73" s="1869" t="s">
        <v>1562</v>
      </c>
    </row>
    <row r="74" spans="1:18" ht="13.5"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5"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0</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1"/>
  <sheetViews>
    <sheetView topLeftCell="A35" zoomScale="90" zoomScaleNormal="90" workbookViewId="0">
      <selection activeCell="O42" sqref="O42"/>
    </sheetView>
  </sheetViews>
  <sheetFormatPr defaultColWidth="8.875" defaultRowHeight="14.25"/>
  <cols>
    <col min="1" max="1" width="10.5" style="394" customWidth="1"/>
    <col min="2" max="2" width="15.75" style="394" customWidth="1"/>
    <col min="3" max="3" width="15.125" style="394" customWidth="1"/>
    <col min="4" max="4" width="12.25" style="394" customWidth="1"/>
    <col min="5" max="5" width="16.375" style="394" customWidth="1"/>
    <col min="6" max="6" width="12.25" style="394" customWidth="1"/>
    <col min="7" max="7" width="15.37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2607"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8.875" style="394"/>
  </cols>
  <sheetData>
    <row r="1" spans="1:29" s="1612" customFormat="1" ht="28.5" customHeight="1" thickBot="1">
      <c r="A1" s="1601" t="s">
        <v>2516</v>
      </c>
      <c r="B1" s="2565" t="s">
        <v>2630</v>
      </c>
      <c r="C1" s="1617" t="s">
        <v>2518</v>
      </c>
      <c r="D1" s="1604" t="s">
        <v>3047</v>
      </c>
      <c r="E1" s="2640"/>
      <c r="F1" s="2567" t="s">
        <v>3126</v>
      </c>
      <c r="G1" s="1614" t="s">
        <v>2520</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1388</v>
      </c>
      <c r="B2" s="1401">
        <f>IF(C2="——",ROUND(C49*D3/10000,0),ROUND(C49*D3/10000,0)-D2)</f>
        <v>0</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1389</v>
      </c>
      <c r="B3" s="600">
        <f>IF(C2="——",C49,ROUND(B2*10000/D3,0))</f>
        <v>5.7</v>
      </c>
      <c r="C3" s="391" t="s">
        <v>2522</v>
      </c>
      <c r="D3" s="390">
        <f>IF(D1="",'数据-汇总表'!E3,SUMIF('数据-汇总表'!$C19:$C33,D1,'数据-汇总表'!$E19:$E33))</f>
        <v>125.85</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5">
      <c r="A4" s="392" t="s">
        <v>2523</v>
      </c>
      <c r="B4" s="393"/>
      <c r="C4" s="3229" t="s">
        <v>2524</v>
      </c>
      <c r="D4" s="3230"/>
      <c r="E4" s="3231" t="s">
        <v>2525</v>
      </c>
      <c r="F4" s="3232"/>
      <c r="G4" s="3229" t="s">
        <v>2526</v>
      </c>
      <c r="H4" s="3230"/>
      <c r="I4" s="3229" t="s">
        <v>2527</v>
      </c>
      <c r="J4" s="3230"/>
      <c r="K4" s="601" t="s">
        <v>2528</v>
      </c>
      <c r="L4" s="1113"/>
      <c r="M4" s="1114"/>
      <c r="N4" s="1114"/>
      <c r="O4" s="1114"/>
      <c r="P4" s="3233" t="s">
        <v>2529</v>
      </c>
      <c r="Q4" s="3234"/>
      <c r="R4" s="3219" t="s">
        <v>2525</v>
      </c>
      <c r="S4" s="3220"/>
      <c r="T4" s="3219" t="s">
        <v>2526</v>
      </c>
      <c r="U4" s="3220"/>
      <c r="V4" s="3215" t="s">
        <v>2527</v>
      </c>
      <c r="W4" s="3215"/>
      <c r="X4" s="3002"/>
      <c r="Y4" s="3219" t="s">
        <v>2529</v>
      </c>
      <c r="Z4" s="3220"/>
      <c r="AA4" s="3225" t="s">
        <v>2525</v>
      </c>
      <c r="AB4" s="3215" t="s">
        <v>2526</v>
      </c>
      <c r="AC4" s="3225" t="s">
        <v>2527</v>
      </c>
    </row>
    <row r="5" spans="1:29" ht="13.9" customHeight="1">
      <c r="A5" s="395"/>
      <c r="B5" s="396"/>
      <c r="C5" s="3239" t="s">
        <v>2530</v>
      </c>
      <c r="D5" s="3240"/>
      <c r="E5" s="3241" t="s">
        <v>3124</v>
      </c>
      <c r="F5" s="3242"/>
      <c r="G5" s="3243" t="s">
        <v>3125</v>
      </c>
      <c r="H5" s="3244"/>
      <c r="I5" s="3243" t="s">
        <v>3059</v>
      </c>
      <c r="J5" s="3244"/>
      <c r="K5" s="601"/>
      <c r="L5" s="1113"/>
      <c r="M5" s="1114"/>
      <c r="N5" s="1114"/>
      <c r="O5" s="1114"/>
      <c r="P5" s="3235"/>
      <c r="Q5" s="3236"/>
      <c r="R5" s="3221"/>
      <c r="S5" s="3222"/>
      <c r="T5" s="3221"/>
      <c r="U5" s="3222"/>
      <c r="V5" s="3215"/>
      <c r="W5" s="3215"/>
      <c r="X5" s="3002"/>
      <c r="Y5" s="3221"/>
      <c r="Z5" s="3222"/>
      <c r="AA5" s="3226"/>
      <c r="AB5" s="3215"/>
      <c r="AC5" s="3226"/>
    </row>
    <row r="6" spans="1:29" ht="15.7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3002"/>
      <c r="Y6" s="3223"/>
      <c r="Z6" s="3224"/>
      <c r="AA6" s="3227"/>
      <c r="AB6" s="3215"/>
      <c r="AC6" s="3227"/>
    </row>
    <row r="7" spans="1:29" s="113" customFormat="1" ht="15.7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16" t="s">
        <v>2537</v>
      </c>
      <c r="Q7" s="3228"/>
      <c r="R7" s="753" t="s">
        <v>17</v>
      </c>
      <c r="S7" s="754">
        <f t="shared" ref="S7:S15" si="0">F7</f>
        <v>100</v>
      </c>
      <c r="T7" s="753" t="s">
        <v>17</v>
      </c>
      <c r="U7" s="754">
        <f t="shared" ref="U7:U15" si="1">H7</f>
        <v>100</v>
      </c>
      <c r="V7" s="753" t="s">
        <v>17</v>
      </c>
      <c r="W7" s="754">
        <f t="shared" ref="W7:W15" si="2">J7</f>
        <v>100</v>
      </c>
      <c r="X7" s="755"/>
      <c r="Y7" s="3216" t="s">
        <v>2537</v>
      </c>
      <c r="Z7" s="3217"/>
      <c r="AA7" s="756">
        <f>D7/F7</f>
        <v>1</v>
      </c>
      <c r="AB7" s="756">
        <f>D7/H7</f>
        <v>1</v>
      </c>
      <c r="AC7" s="756">
        <f>D7/J7</f>
        <v>1</v>
      </c>
    </row>
    <row r="8" spans="1:29" s="113" customFormat="1" ht="15.75" thickBot="1">
      <c r="A8" s="399" t="s">
        <v>2538</v>
      </c>
      <c r="B8" s="400"/>
      <c r="C8" s="405" t="s">
        <v>2575</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16" t="s">
        <v>2540</v>
      </c>
      <c r="Q8" s="3217"/>
      <c r="R8" s="753" t="s">
        <v>17</v>
      </c>
      <c r="S8" s="754">
        <f t="shared" si="0"/>
        <v>100</v>
      </c>
      <c r="T8" s="753" t="s">
        <v>17</v>
      </c>
      <c r="U8" s="754">
        <f t="shared" si="1"/>
        <v>100</v>
      </c>
      <c r="V8" s="753" t="s">
        <v>17</v>
      </c>
      <c r="W8" s="754">
        <f t="shared" si="2"/>
        <v>100</v>
      </c>
      <c r="X8" s="755"/>
      <c r="Y8" s="3216" t="s">
        <v>2540</v>
      </c>
      <c r="Z8" s="3217"/>
      <c r="AA8" s="756">
        <f t="shared" ref="AA8:AA46" si="3">D8/F8</f>
        <v>1</v>
      </c>
      <c r="AB8" s="756">
        <f t="shared" ref="AB8:AB46" si="4">D8/H8</f>
        <v>1</v>
      </c>
      <c r="AC8" s="756">
        <f t="shared" ref="AC8:AC46" si="5">D8/J8</f>
        <v>1</v>
      </c>
    </row>
    <row r="9" spans="1:29" s="113" customFormat="1">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18" t="s">
        <v>2543</v>
      </c>
      <c r="Q9" s="2999" t="str">
        <f t="shared" ref="Q9:Q15" si="6">B9</f>
        <v>用途</v>
      </c>
      <c r="R9" s="753" t="s">
        <v>17</v>
      </c>
      <c r="S9" s="754">
        <f t="shared" si="0"/>
        <v>105</v>
      </c>
      <c r="T9" s="753" t="s">
        <v>17</v>
      </c>
      <c r="U9" s="754">
        <f t="shared" si="1"/>
        <v>105</v>
      </c>
      <c r="V9" s="753" t="s">
        <v>17</v>
      </c>
      <c r="W9" s="754">
        <f t="shared" si="2"/>
        <v>105</v>
      </c>
      <c r="X9" s="755"/>
      <c r="Y9" s="3073" t="s">
        <v>2544</v>
      </c>
      <c r="Z9" s="3000" t="str">
        <f t="shared" ref="Z9:Z15" si="7">Q9</f>
        <v>用途</v>
      </c>
      <c r="AA9" s="756">
        <f t="shared" si="3"/>
        <v>0.95238095238095233</v>
      </c>
      <c r="AB9" s="756">
        <f t="shared" si="4"/>
        <v>0.95238095238095233</v>
      </c>
      <c r="AC9" s="756">
        <f t="shared" si="5"/>
        <v>0.95238095238095233</v>
      </c>
    </row>
    <row r="10" spans="1:29" s="418" customFormat="1" ht="27">
      <c r="A10" s="412"/>
      <c r="B10" s="3001"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18"/>
      <c r="Q10" s="2999" t="str">
        <f t="shared" si="6"/>
        <v>土地使用年限（年）</v>
      </c>
      <c r="R10" s="753" t="s">
        <v>17</v>
      </c>
      <c r="S10" s="754">
        <f t="shared" si="0"/>
        <v>100</v>
      </c>
      <c r="T10" s="753" t="s">
        <v>17</v>
      </c>
      <c r="U10" s="754">
        <f t="shared" si="1"/>
        <v>100</v>
      </c>
      <c r="V10" s="753" t="s">
        <v>17</v>
      </c>
      <c r="W10" s="754">
        <f t="shared" si="2"/>
        <v>100</v>
      </c>
      <c r="X10" s="755"/>
      <c r="Y10" s="3073"/>
      <c r="Z10" s="3000" t="str">
        <f t="shared" si="7"/>
        <v>土地使用年限（年）</v>
      </c>
      <c r="AA10" s="756">
        <f t="shared" si="3"/>
        <v>1</v>
      </c>
      <c r="AB10" s="756">
        <f t="shared" si="4"/>
        <v>1</v>
      </c>
      <c r="AC10" s="756">
        <f t="shared" si="5"/>
        <v>1</v>
      </c>
    </row>
    <row r="11" spans="1:29" ht="15.75" thickBot="1">
      <c r="A11" s="419"/>
      <c r="B11" s="3001"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18"/>
      <c r="Q11" s="2999" t="str">
        <f t="shared" si="6"/>
        <v>容积率</v>
      </c>
      <c r="R11" s="753" t="s">
        <v>17</v>
      </c>
      <c r="S11" s="754">
        <f t="shared" si="0"/>
        <v>100</v>
      </c>
      <c r="T11" s="753" t="s">
        <v>17</v>
      </c>
      <c r="U11" s="754">
        <f t="shared" si="1"/>
        <v>100</v>
      </c>
      <c r="V11" s="753" t="s">
        <v>17</v>
      </c>
      <c r="W11" s="754">
        <f t="shared" si="2"/>
        <v>100</v>
      </c>
      <c r="X11" s="755"/>
      <c r="Y11" s="3073"/>
      <c r="Z11" s="3000" t="str">
        <f t="shared" si="7"/>
        <v>容积率</v>
      </c>
      <c r="AA11" s="756">
        <f t="shared" si="3"/>
        <v>1</v>
      </c>
      <c r="AB11" s="756">
        <f t="shared" si="4"/>
        <v>1</v>
      </c>
      <c r="AC11" s="756">
        <f t="shared" si="5"/>
        <v>1</v>
      </c>
    </row>
    <row r="12" spans="1:29" s="113" customFormat="1" ht="15.75" hidden="1" thickBot="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18"/>
      <c r="Q12" s="2999">
        <f t="shared" si="6"/>
        <v>111</v>
      </c>
      <c r="R12" s="753" t="s">
        <v>17</v>
      </c>
      <c r="S12" s="754">
        <f t="shared" si="0"/>
        <v>100</v>
      </c>
      <c r="T12" s="753" t="s">
        <v>17</v>
      </c>
      <c r="U12" s="754">
        <f t="shared" si="1"/>
        <v>100</v>
      </c>
      <c r="V12" s="753" t="s">
        <v>17</v>
      </c>
      <c r="W12" s="754">
        <f t="shared" si="2"/>
        <v>100</v>
      </c>
      <c r="X12" s="755"/>
      <c r="Y12" s="3073"/>
      <c r="Z12" s="3000">
        <f t="shared" si="7"/>
        <v>111</v>
      </c>
      <c r="AA12" s="756">
        <f>D12/F12</f>
        <v>1</v>
      </c>
      <c r="AB12" s="756">
        <f>D12/H12</f>
        <v>1</v>
      </c>
      <c r="AC12" s="756">
        <f>D12/J12</f>
        <v>1</v>
      </c>
    </row>
    <row r="13" spans="1:29" ht="15.75" hidden="1" thickBot="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18"/>
      <c r="Q13" s="2999">
        <f t="shared" si="6"/>
        <v>111</v>
      </c>
      <c r="R13" s="753" t="s">
        <v>17</v>
      </c>
      <c r="S13" s="754">
        <f t="shared" si="0"/>
        <v>100</v>
      </c>
      <c r="T13" s="753" t="s">
        <v>17</v>
      </c>
      <c r="U13" s="754">
        <f t="shared" si="1"/>
        <v>100</v>
      </c>
      <c r="V13" s="753" t="s">
        <v>17</v>
      </c>
      <c r="W13" s="754">
        <f t="shared" si="2"/>
        <v>100</v>
      </c>
      <c r="X13" s="755"/>
      <c r="Y13" s="3073"/>
      <c r="Z13" s="3000">
        <f t="shared" si="7"/>
        <v>111</v>
      </c>
      <c r="AA13" s="756">
        <f t="shared" si="3"/>
        <v>1</v>
      </c>
      <c r="AB13" s="756">
        <f t="shared" si="4"/>
        <v>1</v>
      </c>
      <c r="AC13" s="756">
        <f t="shared" si="5"/>
        <v>1</v>
      </c>
    </row>
    <row r="14" spans="1:29" ht="15.75"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18"/>
      <c r="Q14" s="2999">
        <f t="shared" si="6"/>
        <v>111</v>
      </c>
      <c r="R14" s="753" t="s">
        <v>17</v>
      </c>
      <c r="S14" s="754">
        <f t="shared" si="0"/>
        <v>100</v>
      </c>
      <c r="T14" s="753" t="s">
        <v>17</v>
      </c>
      <c r="U14" s="754">
        <f t="shared" si="1"/>
        <v>100</v>
      </c>
      <c r="V14" s="753" t="s">
        <v>17</v>
      </c>
      <c r="W14" s="754">
        <f t="shared" si="2"/>
        <v>100</v>
      </c>
      <c r="X14" s="755"/>
      <c r="Y14" s="3073"/>
      <c r="Z14" s="3000">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102</v>
      </c>
      <c r="G15" s="435"/>
      <c r="H15" s="432">
        <f>SUMIF(76:76,G16,77:77)-SUMIF(76:76,C16,77:77)+100</f>
        <v>102</v>
      </c>
      <c r="I15" s="433"/>
      <c r="J15" s="432">
        <f>SUMIF(76:76,I16,77:77)-SUMIF(76:76,C16,77:77)+100</f>
        <v>102</v>
      </c>
      <c r="K15" s="605">
        <v>2</v>
      </c>
      <c r="L15" s="1123"/>
      <c r="M15" s="1114"/>
      <c r="N15" s="1114"/>
      <c r="O15" s="1114"/>
      <c r="P15" s="3206" t="s">
        <v>2548</v>
      </c>
      <c r="Q15" s="3004" t="str">
        <f t="shared" si="6"/>
        <v>商业繁华度</v>
      </c>
      <c r="R15" s="757" t="s">
        <v>17</v>
      </c>
      <c r="S15" s="758">
        <f t="shared" si="0"/>
        <v>102</v>
      </c>
      <c r="T15" s="757" t="s">
        <v>17</v>
      </c>
      <c r="U15" s="758">
        <f t="shared" si="1"/>
        <v>102</v>
      </c>
      <c r="V15" s="757" t="s">
        <v>17</v>
      </c>
      <c r="W15" s="758">
        <f t="shared" si="2"/>
        <v>102</v>
      </c>
      <c r="X15" s="3002"/>
      <c r="Y15" s="3208" t="s">
        <v>2548</v>
      </c>
      <c r="Z15" s="3003" t="str">
        <f t="shared" si="7"/>
        <v>商业繁华度</v>
      </c>
      <c r="AA15" s="3005">
        <f t="shared" si="3"/>
        <v>0.98039215686274506</v>
      </c>
      <c r="AB15" s="3005">
        <f t="shared" si="4"/>
        <v>0.98039215686274506</v>
      </c>
      <c r="AC15" s="3005">
        <f t="shared" si="5"/>
        <v>0.98039215686274506</v>
      </c>
    </row>
    <row r="16" spans="1:29" ht="15">
      <c r="A16" s="419"/>
      <c r="B16" s="437"/>
      <c r="C16" s="438" t="s">
        <v>3062</v>
      </c>
      <c r="D16" s="439"/>
      <c r="E16" s="438" t="s">
        <v>3063</v>
      </c>
      <c r="F16" s="440"/>
      <c r="G16" s="438" t="s">
        <v>3063</v>
      </c>
      <c r="H16" s="441"/>
      <c r="I16" s="438" t="s">
        <v>3063</v>
      </c>
      <c r="J16" s="439"/>
      <c r="K16" s="606"/>
      <c r="L16" s="1123"/>
      <c r="M16" s="1114"/>
      <c r="N16" s="1114"/>
      <c r="O16" s="1114"/>
      <c r="P16" s="3207"/>
      <c r="Q16" s="3004"/>
      <c r="R16" s="757"/>
      <c r="S16" s="758"/>
      <c r="T16" s="757"/>
      <c r="U16" s="758"/>
      <c r="V16" s="757"/>
      <c r="W16" s="758"/>
      <c r="X16" s="3002"/>
      <c r="Y16" s="3209"/>
      <c r="Z16" s="3003"/>
      <c r="AA16" s="3005">
        <v>1</v>
      </c>
      <c r="AB16" s="3005">
        <v>1</v>
      </c>
      <c r="AC16" s="3005">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07"/>
      <c r="Q17" s="3004" t="str">
        <f>B17</f>
        <v>交通便捷度</v>
      </c>
      <c r="R17" s="757" t="s">
        <v>17</v>
      </c>
      <c r="S17" s="758">
        <f>F17</f>
        <v>100</v>
      </c>
      <c r="T17" s="757" t="s">
        <v>17</v>
      </c>
      <c r="U17" s="758">
        <f>H17</f>
        <v>100</v>
      </c>
      <c r="V17" s="757" t="s">
        <v>17</v>
      </c>
      <c r="W17" s="758">
        <f>J17</f>
        <v>100</v>
      </c>
      <c r="X17" s="3002"/>
      <c r="Y17" s="3209"/>
      <c r="Z17" s="3003" t="str">
        <f>Q17</f>
        <v>交通便捷度</v>
      </c>
      <c r="AA17" s="3005">
        <f t="shared" si="3"/>
        <v>1</v>
      </c>
      <c r="AB17" s="3005">
        <f t="shared" si="4"/>
        <v>1</v>
      </c>
      <c r="AC17" s="3005">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07"/>
      <c r="Q18" s="3004"/>
      <c r="R18" s="757"/>
      <c r="S18" s="758"/>
      <c r="T18" s="757"/>
      <c r="U18" s="758"/>
      <c r="V18" s="757"/>
      <c r="W18" s="758"/>
      <c r="X18" s="3002"/>
      <c r="Y18" s="3209"/>
      <c r="Z18" s="3003"/>
      <c r="AA18" s="3005">
        <v>1</v>
      </c>
      <c r="AB18" s="3005">
        <v>1</v>
      </c>
      <c r="AC18" s="3005">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07"/>
      <c r="Q19" s="3004" t="str">
        <f>B19</f>
        <v>公共配套设施</v>
      </c>
      <c r="R19" s="757" t="s">
        <v>17</v>
      </c>
      <c r="S19" s="758">
        <f>F19</f>
        <v>100</v>
      </c>
      <c r="T19" s="757" t="s">
        <v>17</v>
      </c>
      <c r="U19" s="758">
        <f>H19</f>
        <v>100</v>
      </c>
      <c r="V19" s="757" t="s">
        <v>17</v>
      </c>
      <c r="W19" s="758">
        <f>J19</f>
        <v>100</v>
      </c>
      <c r="X19" s="3002"/>
      <c r="Y19" s="3209"/>
      <c r="Z19" s="3003" t="str">
        <f>Q19</f>
        <v>公共配套设施</v>
      </c>
      <c r="AA19" s="3005">
        <f t="shared" si="3"/>
        <v>1</v>
      </c>
      <c r="AB19" s="3005">
        <f t="shared" si="4"/>
        <v>1</v>
      </c>
      <c r="AC19" s="3005">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07"/>
      <c r="Q20" s="3004"/>
      <c r="R20" s="757"/>
      <c r="S20" s="758"/>
      <c r="T20" s="757"/>
      <c r="U20" s="758"/>
      <c r="V20" s="757"/>
      <c r="W20" s="758"/>
      <c r="X20" s="3002"/>
      <c r="Y20" s="3209"/>
      <c r="Z20" s="3003"/>
      <c r="AA20" s="3005">
        <v>1</v>
      </c>
      <c r="AB20" s="3005">
        <v>1</v>
      </c>
      <c r="AC20" s="3005">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07"/>
      <c r="Q21" s="3004" t="str">
        <f>B21</f>
        <v>基础设施水平</v>
      </c>
      <c r="R21" s="757" t="s">
        <v>17</v>
      </c>
      <c r="S21" s="758">
        <f>F21</f>
        <v>100</v>
      </c>
      <c r="T21" s="757" t="s">
        <v>17</v>
      </c>
      <c r="U21" s="758">
        <f>H21</f>
        <v>100</v>
      </c>
      <c r="V21" s="757" t="s">
        <v>17</v>
      </c>
      <c r="W21" s="758">
        <f>J21</f>
        <v>100</v>
      </c>
      <c r="X21" s="3002"/>
      <c r="Y21" s="3209"/>
      <c r="Z21" s="3003" t="str">
        <f>Q21</f>
        <v>基础设施水平</v>
      </c>
      <c r="AA21" s="3005">
        <f t="shared" ref="AA21" si="8">D21/F21</f>
        <v>1</v>
      </c>
      <c r="AB21" s="3005">
        <f t="shared" ref="AB21" si="9">D21/H21</f>
        <v>1</v>
      </c>
      <c r="AC21" s="3005">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07"/>
      <c r="Q22" s="3004"/>
      <c r="R22" s="757"/>
      <c r="S22" s="758"/>
      <c r="T22" s="757"/>
      <c r="U22" s="758"/>
      <c r="V22" s="757"/>
      <c r="W22" s="758"/>
      <c r="X22" s="3002"/>
      <c r="Y22" s="3209"/>
      <c r="Z22" s="3003"/>
      <c r="AA22" s="3005">
        <v>1</v>
      </c>
      <c r="AB22" s="3005">
        <v>1</v>
      </c>
      <c r="AC22" s="3005">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07"/>
      <c r="Q23" s="3004" t="str">
        <f>B23</f>
        <v>自然及人文环境</v>
      </c>
      <c r="R23" s="757" t="s">
        <v>17</v>
      </c>
      <c r="S23" s="758">
        <f>F23</f>
        <v>100</v>
      </c>
      <c r="T23" s="757" t="s">
        <v>17</v>
      </c>
      <c r="U23" s="758">
        <f>H23</f>
        <v>100</v>
      </c>
      <c r="V23" s="757" t="s">
        <v>17</v>
      </c>
      <c r="W23" s="758">
        <f>J23</f>
        <v>100</v>
      </c>
      <c r="X23" s="3002"/>
      <c r="Y23" s="3209"/>
      <c r="Z23" s="3003" t="str">
        <f>Q23</f>
        <v>自然及人文环境</v>
      </c>
      <c r="AA23" s="3005">
        <f t="shared" si="3"/>
        <v>1</v>
      </c>
      <c r="AB23" s="3005">
        <f t="shared" si="4"/>
        <v>1</v>
      </c>
      <c r="AC23" s="3005">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07"/>
      <c r="Q24" s="3004"/>
      <c r="R24" s="757"/>
      <c r="S24" s="758"/>
      <c r="T24" s="757"/>
      <c r="U24" s="758"/>
      <c r="V24" s="757"/>
      <c r="W24" s="758"/>
      <c r="X24" s="3002"/>
      <c r="Y24" s="3209"/>
      <c r="Z24" s="3003"/>
      <c r="AA24" s="3005">
        <v>1</v>
      </c>
      <c r="AB24" s="3005">
        <v>1</v>
      </c>
      <c r="AC24" s="3005">
        <v>1</v>
      </c>
    </row>
    <row r="25" spans="1:29" ht="15">
      <c r="A25" s="419"/>
      <c r="B25" s="3001"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07"/>
      <c r="Q25" s="3004" t="str">
        <f t="shared" ref="Q25:Q46" si="11">B25</f>
        <v>临街状况</v>
      </c>
      <c r="R25" s="757" t="s">
        <v>17</v>
      </c>
      <c r="S25" s="758">
        <f>F25</f>
        <v>100</v>
      </c>
      <c r="T25" s="757" t="s">
        <v>17</v>
      </c>
      <c r="U25" s="758">
        <f>H25</f>
        <v>100</v>
      </c>
      <c r="V25" s="757" t="s">
        <v>17</v>
      </c>
      <c r="W25" s="758">
        <f>J25</f>
        <v>100</v>
      </c>
      <c r="X25" s="3002"/>
      <c r="Y25" s="3209"/>
      <c r="Z25" s="3003" t="str">
        <f>Q25</f>
        <v>临街状况</v>
      </c>
      <c r="AA25" s="3005">
        <f t="shared" si="3"/>
        <v>1</v>
      </c>
      <c r="AB25" s="3005">
        <f t="shared" si="4"/>
        <v>1</v>
      </c>
      <c r="AC25" s="3005">
        <f t="shared" si="5"/>
        <v>1</v>
      </c>
    </row>
    <row r="26" spans="1:29" ht="28.9"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07"/>
      <c r="Q26" s="3004" t="str">
        <f t="shared" si="11"/>
        <v>平面位置/可视性</v>
      </c>
      <c r="R26" s="757" t="s">
        <v>17</v>
      </c>
      <c r="S26" s="758">
        <f>F26</f>
        <v>100</v>
      </c>
      <c r="T26" s="757" t="s">
        <v>17</v>
      </c>
      <c r="U26" s="758">
        <f>H26</f>
        <v>100</v>
      </c>
      <c r="V26" s="757" t="s">
        <v>17</v>
      </c>
      <c r="W26" s="758">
        <f>J26</f>
        <v>100</v>
      </c>
      <c r="X26" s="3002"/>
      <c r="Y26" s="3209"/>
      <c r="Z26" s="3003" t="str">
        <f>Q26</f>
        <v>平面位置/可视性</v>
      </c>
      <c r="AA26" s="3005">
        <f t="shared" si="3"/>
        <v>1</v>
      </c>
      <c r="AB26" s="3005">
        <f t="shared" si="4"/>
        <v>1</v>
      </c>
      <c r="AC26" s="3005">
        <f t="shared" si="5"/>
        <v>1</v>
      </c>
    </row>
    <row r="27" spans="1:29" s="113" customFormat="1" ht="15">
      <c r="A27" s="422"/>
      <c r="B27" s="442" t="s">
        <v>2646</v>
      </c>
      <c r="C27" s="2648" t="s">
        <v>3062</v>
      </c>
      <c r="D27" s="453">
        <v>100</v>
      </c>
      <c r="E27" s="2648" t="s">
        <v>3067</v>
      </c>
      <c r="F27" s="455">
        <f>SUMIF(90:90,E27,91:91)-SUMIF(90:90,C27,91:91)+100</f>
        <v>103</v>
      </c>
      <c r="G27" s="2648" t="s">
        <v>3067</v>
      </c>
      <c r="H27" s="453">
        <f>SUMIF(90:90,G27,91:91)-SUMIF(90:90,C27,91:91)+100</f>
        <v>103</v>
      </c>
      <c r="I27" s="2648" t="s">
        <v>3067</v>
      </c>
      <c r="J27" s="453">
        <f>SUMIF(90:90,I27,91:91)-SUMIF(90:90,C27,91:91)+100</f>
        <v>103</v>
      </c>
      <c r="K27" s="603">
        <v>3</v>
      </c>
      <c r="L27" s="1115"/>
      <c r="M27" s="1116"/>
      <c r="N27" s="1116"/>
      <c r="O27" s="1116"/>
      <c r="P27" s="3207"/>
      <c r="Q27" s="2999" t="str">
        <f t="shared" si="11"/>
        <v>人流量</v>
      </c>
      <c r="R27" s="753" t="s">
        <v>17</v>
      </c>
      <c r="S27" s="754">
        <f>F27</f>
        <v>103</v>
      </c>
      <c r="T27" s="753" t="s">
        <v>17</v>
      </c>
      <c r="U27" s="754">
        <f>H27</f>
        <v>103</v>
      </c>
      <c r="V27" s="753" t="s">
        <v>17</v>
      </c>
      <c r="W27" s="754">
        <f>J27</f>
        <v>103</v>
      </c>
      <c r="X27" s="755"/>
      <c r="Y27" s="3209"/>
      <c r="Z27" s="3000" t="str">
        <f>Q27</f>
        <v>人流量</v>
      </c>
      <c r="AA27" s="3005">
        <f>D27/F27</f>
        <v>0.970873786407767</v>
      </c>
      <c r="AB27" s="3005">
        <f>D27/H27</f>
        <v>0.970873786407767</v>
      </c>
      <c r="AC27" s="3005">
        <f>D27/J27</f>
        <v>0.970873786407767</v>
      </c>
    </row>
    <row r="28" spans="1:29" ht="15.75" thickBot="1">
      <c r="A28" s="419"/>
      <c r="B28" s="3001"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07"/>
      <c r="Q28" s="3004" t="str">
        <f t="shared" si="11"/>
        <v>楼层</v>
      </c>
      <c r="R28" s="757" t="s">
        <v>17</v>
      </c>
      <c r="S28" s="758">
        <f t="shared" ref="S28:S46" si="12">F28</f>
        <v>100</v>
      </c>
      <c r="T28" s="757" t="s">
        <v>17</v>
      </c>
      <c r="U28" s="758">
        <f t="shared" ref="U28:U46" si="13">H28</f>
        <v>100</v>
      </c>
      <c r="V28" s="757" t="s">
        <v>17</v>
      </c>
      <c r="W28" s="758">
        <f t="shared" ref="W28:W46" si="14">J28</f>
        <v>100</v>
      </c>
      <c r="X28" s="3002"/>
      <c r="Y28" s="3209"/>
      <c r="Z28" s="3003" t="str">
        <f t="shared" ref="Z28:Z46" si="15">Q28</f>
        <v>楼层</v>
      </c>
      <c r="AA28" s="3005">
        <f t="shared" si="3"/>
        <v>1</v>
      </c>
      <c r="AB28" s="3005">
        <f t="shared" si="4"/>
        <v>1</v>
      </c>
      <c r="AC28" s="3005">
        <f t="shared" si="5"/>
        <v>1</v>
      </c>
    </row>
    <row r="29" spans="1:29" ht="15.75" hidden="1" thickBot="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07"/>
      <c r="Q29" s="3004">
        <f t="shared" si="11"/>
        <v>111</v>
      </c>
      <c r="R29" s="757" t="s">
        <v>17</v>
      </c>
      <c r="S29" s="758">
        <f t="shared" si="12"/>
        <v>100</v>
      </c>
      <c r="T29" s="757" t="s">
        <v>17</v>
      </c>
      <c r="U29" s="758">
        <f t="shared" si="13"/>
        <v>100</v>
      </c>
      <c r="V29" s="757" t="s">
        <v>17</v>
      </c>
      <c r="W29" s="758">
        <f t="shared" si="14"/>
        <v>100</v>
      </c>
      <c r="X29" s="3002"/>
      <c r="Y29" s="3209"/>
      <c r="Z29" s="3003">
        <f t="shared" si="15"/>
        <v>111</v>
      </c>
      <c r="AA29" s="3005">
        <f t="shared" si="3"/>
        <v>1</v>
      </c>
      <c r="AB29" s="3005">
        <f t="shared" si="4"/>
        <v>1</v>
      </c>
      <c r="AC29" s="3005">
        <f t="shared" si="5"/>
        <v>1</v>
      </c>
    </row>
    <row r="30" spans="1:29" ht="15.75" hidden="1" thickBot="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07"/>
      <c r="Q30" s="3004">
        <f t="shared" si="11"/>
        <v>111</v>
      </c>
      <c r="R30" s="757" t="s">
        <v>17</v>
      </c>
      <c r="S30" s="758">
        <f t="shared" si="12"/>
        <v>100</v>
      </c>
      <c r="T30" s="757" t="s">
        <v>17</v>
      </c>
      <c r="U30" s="758">
        <f t="shared" si="13"/>
        <v>100</v>
      </c>
      <c r="V30" s="757" t="s">
        <v>17</v>
      </c>
      <c r="W30" s="758">
        <f t="shared" si="14"/>
        <v>100</v>
      </c>
      <c r="X30" s="3002"/>
      <c r="Y30" s="3209"/>
      <c r="Z30" s="3003">
        <f t="shared" si="15"/>
        <v>111</v>
      </c>
      <c r="AA30" s="3005">
        <f t="shared" si="3"/>
        <v>1</v>
      </c>
      <c r="AB30" s="3005">
        <f t="shared" si="4"/>
        <v>1</v>
      </c>
      <c r="AC30" s="3005">
        <f t="shared" si="5"/>
        <v>1</v>
      </c>
    </row>
    <row r="31" spans="1:29" ht="15.75"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07"/>
      <c r="Q31" s="3004">
        <f t="shared" si="11"/>
        <v>111</v>
      </c>
      <c r="R31" s="757" t="s">
        <v>17</v>
      </c>
      <c r="S31" s="758">
        <f t="shared" si="12"/>
        <v>100</v>
      </c>
      <c r="T31" s="757" t="s">
        <v>17</v>
      </c>
      <c r="U31" s="758">
        <f t="shared" si="13"/>
        <v>100</v>
      </c>
      <c r="V31" s="757" t="s">
        <v>17</v>
      </c>
      <c r="W31" s="758">
        <f t="shared" si="14"/>
        <v>100</v>
      </c>
      <c r="X31" s="3002"/>
      <c r="Y31" s="3209"/>
      <c r="Z31" s="3003">
        <f t="shared" si="15"/>
        <v>111</v>
      </c>
      <c r="AA31" s="3005">
        <f t="shared" si="3"/>
        <v>1</v>
      </c>
      <c r="AB31" s="3005">
        <f t="shared" si="4"/>
        <v>1</v>
      </c>
      <c r="AC31" s="3005">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10" t="s">
        <v>2553</v>
      </c>
      <c r="Q32" s="3004" t="str">
        <f t="shared" si="11"/>
        <v>商业类型</v>
      </c>
      <c r="R32" s="757" t="s">
        <v>17</v>
      </c>
      <c r="S32" s="758">
        <f t="shared" si="12"/>
        <v>100</v>
      </c>
      <c r="T32" s="757" t="s">
        <v>17</v>
      </c>
      <c r="U32" s="758">
        <f t="shared" si="13"/>
        <v>100</v>
      </c>
      <c r="V32" s="757" t="s">
        <v>17</v>
      </c>
      <c r="W32" s="758">
        <f t="shared" si="14"/>
        <v>100</v>
      </c>
      <c r="X32" s="3002"/>
      <c r="Y32" s="3213" t="s">
        <v>2553</v>
      </c>
      <c r="Z32" s="3003" t="str">
        <f t="shared" si="15"/>
        <v>商业类型</v>
      </c>
      <c r="AA32" s="3005">
        <f t="shared" si="3"/>
        <v>1</v>
      </c>
      <c r="AB32" s="3005">
        <f t="shared" si="4"/>
        <v>1</v>
      </c>
      <c r="AC32" s="3005">
        <f t="shared" si="5"/>
        <v>1</v>
      </c>
    </row>
    <row r="33" spans="1:29" s="462" customFormat="1" ht="15">
      <c r="A33" s="459"/>
      <c r="B33" s="3001" t="s">
        <v>2554</v>
      </c>
      <c r="C33" s="460">
        <v>125</v>
      </c>
      <c r="D33" s="127">
        <v>100</v>
      </c>
      <c r="E33" s="421">
        <v>200</v>
      </c>
      <c r="F33" s="416">
        <f>LOOKUP(E33,103:103,104:104)-LOOKUP(C33,103:103,104:104)+100</f>
        <v>98</v>
      </c>
      <c r="G33" s="420">
        <v>150</v>
      </c>
      <c r="H33" s="127">
        <f>LOOKUP(G33,103:103,104:104)-LOOKUP(C33,103:103,104:104)+100</f>
        <v>100</v>
      </c>
      <c r="I33" s="420">
        <v>80</v>
      </c>
      <c r="J33" s="127">
        <f>LOOKUP(I33,103:103,104:104)-LOOKUP(C33,103:103,104:104)+100</f>
        <v>102</v>
      </c>
      <c r="K33" s="604"/>
      <c r="L33" s="1121"/>
      <c r="M33" s="1124"/>
      <c r="N33" s="1124"/>
      <c r="O33" s="1124"/>
      <c r="P33" s="3211"/>
      <c r="Q33" s="759" t="str">
        <f t="shared" si="11"/>
        <v>项目建筑规模</v>
      </c>
      <c r="R33" s="760" t="s">
        <v>17</v>
      </c>
      <c r="S33" s="761">
        <f t="shared" si="12"/>
        <v>98</v>
      </c>
      <c r="T33" s="760" t="s">
        <v>17</v>
      </c>
      <c r="U33" s="761">
        <f t="shared" si="13"/>
        <v>100</v>
      </c>
      <c r="V33" s="760" t="s">
        <v>17</v>
      </c>
      <c r="W33" s="761">
        <f t="shared" si="14"/>
        <v>102</v>
      </c>
      <c r="X33" s="762"/>
      <c r="Y33" s="3213"/>
      <c r="Z33" s="763" t="str">
        <f t="shared" si="15"/>
        <v>项目建筑规模</v>
      </c>
      <c r="AA33" s="3005">
        <f t="shared" si="3"/>
        <v>1.0204081632653061</v>
      </c>
      <c r="AB33" s="3005">
        <f t="shared" si="4"/>
        <v>1</v>
      </c>
      <c r="AC33" s="3005">
        <f t="shared" si="5"/>
        <v>0.98039215686274506</v>
      </c>
    </row>
    <row r="34" spans="1:29" ht="15">
      <c r="A34" s="463"/>
      <c r="B34" s="3001"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11"/>
      <c r="Q34" s="3004" t="str">
        <f t="shared" si="11"/>
        <v>建筑结构</v>
      </c>
      <c r="R34" s="757" t="s">
        <v>17</v>
      </c>
      <c r="S34" s="758">
        <f t="shared" si="12"/>
        <v>100</v>
      </c>
      <c r="T34" s="757" t="s">
        <v>17</v>
      </c>
      <c r="U34" s="758">
        <f t="shared" si="13"/>
        <v>100</v>
      </c>
      <c r="V34" s="757" t="s">
        <v>17</v>
      </c>
      <c r="W34" s="758">
        <f t="shared" si="14"/>
        <v>100</v>
      </c>
      <c r="X34" s="3002"/>
      <c r="Y34" s="3213"/>
      <c r="Z34" s="3003" t="str">
        <f t="shared" si="15"/>
        <v>建筑结构</v>
      </c>
      <c r="AA34" s="3005">
        <f t="shared" si="3"/>
        <v>1</v>
      </c>
      <c r="AB34" s="3005">
        <f t="shared" si="4"/>
        <v>1</v>
      </c>
      <c r="AC34" s="3005">
        <f t="shared" si="5"/>
        <v>1</v>
      </c>
    </row>
    <row r="35" spans="1:29" ht="15">
      <c r="A35" s="463"/>
      <c r="B35" s="3001"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11"/>
      <c r="Q35" s="3004" t="str">
        <f t="shared" si="11"/>
        <v>公共部分装修</v>
      </c>
      <c r="R35" s="757" t="s">
        <v>17</v>
      </c>
      <c r="S35" s="758">
        <f t="shared" si="12"/>
        <v>100</v>
      </c>
      <c r="T35" s="757" t="s">
        <v>17</v>
      </c>
      <c r="U35" s="758">
        <f t="shared" si="13"/>
        <v>100</v>
      </c>
      <c r="V35" s="757" t="s">
        <v>17</v>
      </c>
      <c r="W35" s="758">
        <f t="shared" si="14"/>
        <v>100</v>
      </c>
      <c r="X35" s="3002"/>
      <c r="Y35" s="3213"/>
      <c r="Z35" s="3003" t="str">
        <f t="shared" si="15"/>
        <v>公共部分装修</v>
      </c>
      <c r="AA35" s="3005">
        <f t="shared" si="3"/>
        <v>1</v>
      </c>
      <c r="AB35" s="3005">
        <f t="shared" si="4"/>
        <v>1</v>
      </c>
      <c r="AC35" s="3005">
        <f t="shared" si="5"/>
        <v>1</v>
      </c>
    </row>
    <row r="36" spans="1:29" ht="15">
      <c r="A36" s="463"/>
      <c r="B36" s="3001" t="s">
        <v>2650</v>
      </c>
      <c r="C36" s="465">
        <f>'数据-取费表'!N6</f>
        <v>0.78</v>
      </c>
      <c r="D36" s="426">
        <v>100</v>
      </c>
      <c r="E36" s="465">
        <v>0.9</v>
      </c>
      <c r="F36" s="452">
        <f>LOOKUP(E36,110:110,111:111)-LOOKUP(C36,110:110,111:111)+100</f>
        <v>102</v>
      </c>
      <c r="G36" s="465">
        <v>0.9</v>
      </c>
      <c r="H36" s="452">
        <f>LOOKUP(G36,110:110,111:111)-LOOKUP(C36,110:110,111:111)+100</f>
        <v>102</v>
      </c>
      <c r="I36" s="465">
        <v>0.8</v>
      </c>
      <c r="J36" s="426">
        <f>LOOKUP(I36,110:110,111:111)-LOOKUP(C36,110:110,111:111)+100</f>
        <v>101</v>
      </c>
      <c r="K36" s="603">
        <v>1</v>
      </c>
      <c r="L36" s="1123"/>
      <c r="M36" s="1114"/>
      <c r="N36" s="1114"/>
      <c r="O36" s="1114"/>
      <c r="P36" s="3211"/>
      <c r="Q36" s="3004" t="str">
        <f t="shared" si="11"/>
        <v>成新度</v>
      </c>
      <c r="R36" s="757" t="s">
        <v>17</v>
      </c>
      <c r="S36" s="758">
        <f t="shared" si="12"/>
        <v>102</v>
      </c>
      <c r="T36" s="757" t="s">
        <v>17</v>
      </c>
      <c r="U36" s="758">
        <f t="shared" si="13"/>
        <v>102</v>
      </c>
      <c r="V36" s="757" t="s">
        <v>17</v>
      </c>
      <c r="W36" s="758">
        <f t="shared" si="14"/>
        <v>101</v>
      </c>
      <c r="X36" s="3002"/>
      <c r="Y36" s="3213"/>
      <c r="Z36" s="3003" t="str">
        <f t="shared" si="15"/>
        <v>成新度</v>
      </c>
      <c r="AA36" s="3005">
        <f t="shared" si="3"/>
        <v>0.98039215686274506</v>
      </c>
      <c r="AB36" s="3005">
        <f t="shared" si="4"/>
        <v>0.98039215686274506</v>
      </c>
      <c r="AC36" s="3005">
        <f t="shared" si="5"/>
        <v>0.99009900990099009</v>
      </c>
    </row>
    <row r="37" spans="1:29" s="113" customFormat="1" ht="15">
      <c r="A37" s="464"/>
      <c r="B37" s="3001"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11"/>
      <c r="Q37" s="2999" t="str">
        <f t="shared" si="11"/>
        <v>市政基础设施</v>
      </c>
      <c r="R37" s="753" t="s">
        <v>17</v>
      </c>
      <c r="S37" s="754">
        <f t="shared" si="12"/>
        <v>101</v>
      </c>
      <c r="T37" s="753" t="s">
        <v>17</v>
      </c>
      <c r="U37" s="754">
        <f t="shared" si="13"/>
        <v>101</v>
      </c>
      <c r="V37" s="753" t="s">
        <v>17</v>
      </c>
      <c r="W37" s="754">
        <f t="shared" si="14"/>
        <v>101</v>
      </c>
      <c r="X37" s="755"/>
      <c r="Y37" s="3213"/>
      <c r="Z37" s="3000" t="str">
        <f t="shared" si="15"/>
        <v>市政基础设施</v>
      </c>
      <c r="AA37" s="756">
        <f t="shared" si="3"/>
        <v>0.99009900990099009</v>
      </c>
      <c r="AB37" s="756">
        <f t="shared" si="4"/>
        <v>0.99009900990099009</v>
      </c>
      <c r="AC37" s="756">
        <f t="shared" si="5"/>
        <v>0.99009900990099009</v>
      </c>
    </row>
    <row r="38" spans="1:29" ht="15">
      <c r="A38" s="463"/>
      <c r="B38" s="3001" t="s">
        <v>2652</v>
      </c>
      <c r="C38" s="2980" t="s">
        <v>3120</v>
      </c>
      <c r="D38" s="426">
        <v>100</v>
      </c>
      <c r="E38" s="2596" t="s">
        <v>3118</v>
      </c>
      <c r="F38" s="452">
        <f>SUMIF(114:114,E38,115:115)-SUMIF(114:114,C38,115:115)+100</f>
        <v>101</v>
      </c>
      <c r="G38" s="2596" t="s">
        <v>3118</v>
      </c>
      <c r="H38" s="426">
        <f>SUMIF(114:114,G38,115:115)-SUMIF(114:114,C38,115:115)+100</f>
        <v>101</v>
      </c>
      <c r="I38" s="2596" t="s">
        <v>3118</v>
      </c>
      <c r="J38" s="426">
        <f>SUMIF(114:114,I38,115:115)-SUMIF(114:114,C38,115:115)+100</f>
        <v>101</v>
      </c>
      <c r="K38" s="603">
        <v>1</v>
      </c>
      <c r="L38" s="1123"/>
      <c r="M38" s="1114"/>
      <c r="N38" s="1114"/>
      <c r="O38" s="1114"/>
      <c r="P38" s="3211" t="s">
        <v>2553</v>
      </c>
      <c r="Q38" s="3004" t="str">
        <f t="shared" si="11"/>
        <v>业态</v>
      </c>
      <c r="R38" s="757" t="s">
        <v>17</v>
      </c>
      <c r="S38" s="758">
        <f t="shared" si="12"/>
        <v>101</v>
      </c>
      <c r="T38" s="757" t="s">
        <v>17</v>
      </c>
      <c r="U38" s="758">
        <f t="shared" si="13"/>
        <v>101</v>
      </c>
      <c r="V38" s="757" t="s">
        <v>17</v>
      </c>
      <c r="W38" s="758">
        <f t="shared" si="14"/>
        <v>101</v>
      </c>
      <c r="X38" s="3002"/>
      <c r="Y38" s="3213" t="s">
        <v>2553</v>
      </c>
      <c r="Z38" s="3003" t="str">
        <f t="shared" si="15"/>
        <v>业态</v>
      </c>
      <c r="AA38" s="3005">
        <f t="shared" si="3"/>
        <v>0.99009900990099009</v>
      </c>
      <c r="AB38" s="3005">
        <f t="shared" si="4"/>
        <v>0.99009900990099009</v>
      </c>
      <c r="AC38" s="3005">
        <f t="shared" si="5"/>
        <v>0.99009900990099009</v>
      </c>
    </row>
    <row r="39" spans="1:29" ht="15">
      <c r="A39" s="463"/>
      <c r="B39" s="3001" t="s">
        <v>2653</v>
      </c>
      <c r="C39" s="2596" t="s">
        <v>3077</v>
      </c>
      <c r="D39" s="426">
        <v>100</v>
      </c>
      <c r="E39" s="2596" t="s">
        <v>3077</v>
      </c>
      <c r="F39" s="452">
        <f>SUMIF(116:116,E39,117:117)-SUMIF(116:116,C39,117:117)+100</f>
        <v>100</v>
      </c>
      <c r="G39" s="2596" t="s">
        <v>3077</v>
      </c>
      <c r="H39" s="426">
        <f>SUMIF(116:116,G39,117:117)-SUMIF(116:116,C39,117:117)+100</f>
        <v>100</v>
      </c>
      <c r="I39" s="2596" t="s">
        <v>3077</v>
      </c>
      <c r="J39" s="426">
        <f>SUMIF(116:116,I39,117:117)-SUMIF(116:116,C39,117:117)+100</f>
        <v>100</v>
      </c>
      <c r="K39" s="603">
        <v>15</v>
      </c>
      <c r="L39" s="1123"/>
      <c r="M39" s="1114"/>
      <c r="N39" s="1114"/>
      <c r="O39" s="1114"/>
      <c r="P39" s="3211"/>
      <c r="Q39" s="3004" t="str">
        <f t="shared" si="11"/>
        <v>层高</v>
      </c>
      <c r="R39" s="757" t="s">
        <v>17</v>
      </c>
      <c r="S39" s="758">
        <f t="shared" si="12"/>
        <v>100</v>
      </c>
      <c r="T39" s="757" t="s">
        <v>17</v>
      </c>
      <c r="U39" s="758">
        <f t="shared" si="13"/>
        <v>100</v>
      </c>
      <c r="V39" s="757" t="s">
        <v>17</v>
      </c>
      <c r="W39" s="758">
        <f t="shared" si="14"/>
        <v>100</v>
      </c>
      <c r="X39" s="3002"/>
      <c r="Y39" s="3213"/>
      <c r="Z39" s="3003" t="str">
        <f t="shared" si="15"/>
        <v>层高</v>
      </c>
      <c r="AA39" s="3005">
        <f t="shared" si="3"/>
        <v>1</v>
      </c>
      <c r="AB39" s="3005">
        <f t="shared" si="4"/>
        <v>1</v>
      </c>
      <c r="AC39" s="3005">
        <f t="shared" si="5"/>
        <v>1</v>
      </c>
    </row>
    <row r="40" spans="1:29" ht="15">
      <c r="A40" s="463"/>
      <c r="B40" s="3001"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11"/>
      <c r="Q40" s="3004" t="str">
        <f t="shared" si="11"/>
        <v>单套建筑面积</v>
      </c>
      <c r="R40" s="757" t="s">
        <v>17</v>
      </c>
      <c r="S40" s="758">
        <f t="shared" si="12"/>
        <v>100</v>
      </c>
      <c r="T40" s="757" t="s">
        <v>17</v>
      </c>
      <c r="U40" s="758">
        <f t="shared" si="13"/>
        <v>100</v>
      </c>
      <c r="V40" s="757" t="s">
        <v>17</v>
      </c>
      <c r="W40" s="758">
        <f t="shared" si="14"/>
        <v>100</v>
      </c>
      <c r="X40" s="3002"/>
      <c r="Y40" s="3213"/>
      <c r="Z40" s="3003" t="str">
        <f t="shared" si="15"/>
        <v>单套建筑面积</v>
      </c>
      <c r="AA40" s="3005">
        <f t="shared" si="3"/>
        <v>1</v>
      </c>
      <c r="AB40" s="3005">
        <f t="shared" si="4"/>
        <v>1</v>
      </c>
      <c r="AC40" s="3005">
        <f t="shared" si="5"/>
        <v>1</v>
      </c>
    </row>
    <row r="41" spans="1:29" s="462" customFormat="1" ht="15">
      <c r="A41" s="459"/>
      <c r="B41" s="3006"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11"/>
      <c r="Q41" s="759" t="str">
        <f t="shared" si="11"/>
        <v>进深比</v>
      </c>
      <c r="R41" s="760" t="s">
        <v>17</v>
      </c>
      <c r="S41" s="761">
        <f t="shared" si="12"/>
        <v>100</v>
      </c>
      <c r="T41" s="760" t="s">
        <v>17</v>
      </c>
      <c r="U41" s="761">
        <f t="shared" si="13"/>
        <v>100</v>
      </c>
      <c r="V41" s="760" t="s">
        <v>17</v>
      </c>
      <c r="W41" s="761">
        <f t="shared" si="14"/>
        <v>100</v>
      </c>
      <c r="X41" s="762"/>
      <c r="Y41" s="3213"/>
      <c r="Z41" s="763" t="str">
        <f t="shared" si="15"/>
        <v>进深比</v>
      </c>
      <c r="AA41" s="3005">
        <f t="shared" si="3"/>
        <v>1</v>
      </c>
      <c r="AB41" s="3005">
        <f t="shared" si="4"/>
        <v>1</v>
      </c>
      <c r="AC41" s="3005">
        <f t="shared" si="5"/>
        <v>1</v>
      </c>
    </row>
    <row r="42" spans="1:29" ht="15">
      <c r="A42" s="463"/>
      <c r="B42" s="3001"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11"/>
      <c r="Q42" s="3004" t="str">
        <f t="shared" si="11"/>
        <v>内部装修</v>
      </c>
      <c r="R42" s="757" t="s">
        <v>17</v>
      </c>
      <c r="S42" s="758">
        <f t="shared" si="12"/>
        <v>100</v>
      </c>
      <c r="T42" s="757" t="s">
        <v>17</v>
      </c>
      <c r="U42" s="758">
        <f t="shared" si="13"/>
        <v>100</v>
      </c>
      <c r="V42" s="757" t="s">
        <v>17</v>
      </c>
      <c r="W42" s="758">
        <f t="shared" si="14"/>
        <v>100</v>
      </c>
      <c r="X42" s="3002"/>
      <c r="Y42" s="3213"/>
      <c r="Z42" s="3003" t="str">
        <f t="shared" si="15"/>
        <v>内部装修</v>
      </c>
      <c r="AA42" s="3005">
        <f t="shared" si="3"/>
        <v>1</v>
      </c>
      <c r="AB42" s="3005">
        <f t="shared" si="4"/>
        <v>1</v>
      </c>
      <c r="AC42" s="3005">
        <f t="shared" si="5"/>
        <v>1</v>
      </c>
    </row>
    <row r="43" spans="1:29" ht="15">
      <c r="A43" s="463"/>
      <c r="B43" s="3001"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11"/>
      <c r="Q43" s="3004" t="str">
        <f t="shared" si="11"/>
        <v>内部装修维护情况</v>
      </c>
      <c r="R43" s="757" t="s">
        <v>17</v>
      </c>
      <c r="S43" s="758">
        <f t="shared" si="12"/>
        <v>100</v>
      </c>
      <c r="T43" s="757" t="s">
        <v>17</v>
      </c>
      <c r="U43" s="758">
        <f t="shared" si="13"/>
        <v>100</v>
      </c>
      <c r="V43" s="757" t="s">
        <v>17</v>
      </c>
      <c r="W43" s="758">
        <f t="shared" si="14"/>
        <v>100</v>
      </c>
      <c r="X43" s="3002"/>
      <c r="Y43" s="3213"/>
      <c r="Z43" s="3003" t="str">
        <f t="shared" si="15"/>
        <v>内部装修维护情况</v>
      </c>
      <c r="AA43" s="3005">
        <f t="shared" si="3"/>
        <v>1</v>
      </c>
      <c r="AB43" s="3005">
        <f t="shared" si="4"/>
        <v>1</v>
      </c>
      <c r="AC43" s="3005">
        <f t="shared" si="5"/>
        <v>1</v>
      </c>
    </row>
    <row r="44" spans="1:29" s="113" customFormat="1" ht="15.75"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11"/>
      <c r="Q44" s="2999" t="str">
        <f t="shared" si="11"/>
        <v>是否含地下室</v>
      </c>
      <c r="R44" s="753" t="s">
        <v>17</v>
      </c>
      <c r="S44" s="754">
        <f t="shared" si="12"/>
        <v>105</v>
      </c>
      <c r="T44" s="753" t="s">
        <v>17</v>
      </c>
      <c r="U44" s="754">
        <f t="shared" si="13"/>
        <v>105</v>
      </c>
      <c r="V44" s="753" t="s">
        <v>17</v>
      </c>
      <c r="W44" s="754">
        <f t="shared" si="14"/>
        <v>105</v>
      </c>
      <c r="X44" s="755"/>
      <c r="Y44" s="3213"/>
      <c r="Z44" s="3000" t="str">
        <f t="shared" si="15"/>
        <v>是否含地下室</v>
      </c>
      <c r="AA44" s="756">
        <f t="shared" si="3"/>
        <v>0.95238095238095233</v>
      </c>
      <c r="AB44" s="756">
        <f t="shared" si="4"/>
        <v>0.95238095238095233</v>
      </c>
      <c r="AC44" s="756">
        <f t="shared" si="5"/>
        <v>0.95238095238095233</v>
      </c>
    </row>
    <row r="45" spans="1:29" ht="15.75" hidden="1" thickBot="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11"/>
      <c r="Q45" s="3004">
        <f t="shared" si="11"/>
        <v>111</v>
      </c>
      <c r="R45" s="757" t="s">
        <v>17</v>
      </c>
      <c r="S45" s="758">
        <f t="shared" si="12"/>
        <v>100</v>
      </c>
      <c r="T45" s="757" t="s">
        <v>17</v>
      </c>
      <c r="U45" s="758">
        <f t="shared" si="13"/>
        <v>100</v>
      </c>
      <c r="V45" s="757" t="s">
        <v>17</v>
      </c>
      <c r="W45" s="758">
        <f t="shared" si="14"/>
        <v>100</v>
      </c>
      <c r="X45" s="3002"/>
      <c r="Y45" s="3213"/>
      <c r="Z45" s="3003">
        <f t="shared" si="15"/>
        <v>111</v>
      </c>
      <c r="AA45" s="3005">
        <f t="shared" si="3"/>
        <v>1</v>
      </c>
      <c r="AB45" s="3005">
        <f t="shared" si="4"/>
        <v>1</v>
      </c>
      <c r="AC45" s="3005">
        <f t="shared" si="5"/>
        <v>1</v>
      </c>
    </row>
    <row r="46" spans="1:29" ht="15.75"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12"/>
      <c r="Q46" s="3004">
        <f t="shared" si="11"/>
        <v>111</v>
      </c>
      <c r="R46" s="757" t="s">
        <v>17</v>
      </c>
      <c r="S46" s="758">
        <f t="shared" si="12"/>
        <v>100</v>
      </c>
      <c r="T46" s="757" t="s">
        <v>17</v>
      </c>
      <c r="U46" s="758">
        <f t="shared" si="13"/>
        <v>100</v>
      </c>
      <c r="V46" s="757" t="s">
        <v>17</v>
      </c>
      <c r="W46" s="758">
        <f t="shared" si="14"/>
        <v>100</v>
      </c>
      <c r="X46" s="3002"/>
      <c r="Y46" s="3214"/>
      <c r="Z46" s="3003">
        <f t="shared" si="15"/>
        <v>111</v>
      </c>
      <c r="AA46" s="3005">
        <f t="shared" si="3"/>
        <v>1</v>
      </c>
      <c r="AB46" s="3005">
        <f t="shared" si="4"/>
        <v>1</v>
      </c>
      <c r="AC46" s="3005">
        <f t="shared" si="5"/>
        <v>1</v>
      </c>
    </row>
    <row r="47" spans="1:29" ht="15">
      <c r="A47" s="470" t="s">
        <v>2565</v>
      </c>
      <c r="B47" s="471"/>
      <c r="C47" s="1390" t="s">
        <v>1</v>
      </c>
      <c r="D47" s="1391"/>
      <c r="E47" s="1392">
        <v>6.5</v>
      </c>
      <c r="F47" s="1393"/>
      <c r="G47" s="1394">
        <v>7.5</v>
      </c>
      <c r="H47" s="1395"/>
      <c r="I47" s="1392">
        <v>6.5</v>
      </c>
      <c r="J47" s="1395"/>
      <c r="K47" s="766"/>
      <c r="L47" s="1126"/>
      <c r="M47" s="1127"/>
      <c r="N47" s="1114"/>
      <c r="O47" s="1127"/>
      <c r="P47" s="3201" t="str">
        <f>A47</f>
        <v>成交单价（元/平方米）</v>
      </c>
      <c r="Q47" s="3201"/>
      <c r="R47" s="3215">
        <f>E47</f>
        <v>6.5</v>
      </c>
      <c r="S47" s="3215"/>
      <c r="T47" s="3215">
        <f>G47</f>
        <v>7.5</v>
      </c>
      <c r="U47" s="3215"/>
      <c r="V47" s="3215">
        <f>I47</f>
        <v>6.5</v>
      </c>
      <c r="W47" s="3215"/>
      <c r="X47" s="742"/>
      <c r="Y47" s="764"/>
      <c r="Z47" s="742"/>
      <c r="AA47" s="742"/>
      <c r="AB47" s="742"/>
      <c r="AC47" s="742"/>
    </row>
    <row r="48" spans="1:29" ht="15.75" thickBot="1">
      <c r="A48" s="477" t="s">
        <v>2566</v>
      </c>
      <c r="B48" s="478"/>
      <c r="C48" s="1396">
        <f>R49</f>
        <v>5.7</v>
      </c>
      <c r="D48" s="1397"/>
      <c r="E48" s="1398">
        <f>R48</f>
        <v>5.5</v>
      </c>
      <c r="F48" s="1398"/>
      <c r="G48" s="1396">
        <f>T48</f>
        <v>6.2</v>
      </c>
      <c r="H48" s="1397"/>
      <c r="I48" s="1398">
        <f>V48</f>
        <v>5.3</v>
      </c>
      <c r="J48" s="1397"/>
      <c r="K48" s="767"/>
      <c r="L48" s="1126"/>
      <c r="M48" s="1127"/>
      <c r="N48" s="1114"/>
      <c r="O48" s="1127"/>
      <c r="P48" s="3201" t="str">
        <f>A48</f>
        <v>比较价值（元/平方米）</v>
      </c>
      <c r="Q48" s="3201"/>
      <c r="R48" s="3202">
        <f>IF(F1="售价",ROUND(PRODUCT(R47,AA7:AA46),0),ROUND(PRODUCT(R47,AA7:AA46),1))</f>
        <v>5.5</v>
      </c>
      <c r="S48" s="3202"/>
      <c r="T48" s="3202">
        <f>IF(F1="售价",ROUND(PRODUCT(T47,AB7:AB46),0),ROUND(PRODUCT(T47,AB7:AB46),1))</f>
        <v>6.2</v>
      </c>
      <c r="U48" s="3202"/>
      <c r="V48" s="3202">
        <f>IF(F1="售价",ROUND(PRODUCT(V47,AC7:AC46),0),ROUND(PRODUCT(V47,AC7:AC46),1))</f>
        <v>5.3</v>
      </c>
      <c r="W48" s="3202"/>
      <c r="X48" s="742"/>
      <c r="Y48" s="742"/>
      <c r="Z48" s="742"/>
      <c r="AA48" s="742"/>
      <c r="AB48" s="742"/>
      <c r="AC48" s="742"/>
    </row>
    <row r="49" spans="1:29" ht="15.75" thickBot="1">
      <c r="A49" s="483" t="s">
        <v>2567</v>
      </c>
      <c r="B49" s="484"/>
      <c r="C49" s="1400">
        <f>R49</f>
        <v>5.7</v>
      </c>
      <c r="D49" s="1400"/>
      <c r="E49" s="1400"/>
      <c r="F49" s="1400"/>
      <c r="G49" s="1400"/>
      <c r="H49" s="1400"/>
      <c r="I49" s="1400"/>
      <c r="J49" s="1400"/>
      <c r="K49" s="768"/>
      <c r="L49" s="1126"/>
      <c r="M49" s="1127"/>
      <c r="N49" s="1114"/>
      <c r="O49" s="1127"/>
      <c r="P49" s="3203" t="str">
        <f>A49</f>
        <v>估价对象XX用房的比较价值（楼面单价，元/平方米）</v>
      </c>
      <c r="Q49" s="3204"/>
      <c r="R49" s="3205">
        <f>IF(F1="售价",ROUND(AVERAGE(R48:V48),0),ROUND(AVERAGE(R48:V48),1))</f>
        <v>5.7</v>
      </c>
      <c r="S49" s="3205"/>
      <c r="T49" s="3205"/>
      <c r="U49" s="3205"/>
      <c r="V49" s="3205"/>
      <c r="W49" s="3205"/>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2568</v>
      </c>
      <c r="D52" s="489"/>
      <c r="E52" s="490">
        <f>IF(E47&lt;E48,E48/E47-1,E47/E48-1)</f>
        <v>0.18181818181818188</v>
      </c>
      <c r="F52" s="491" t="str">
        <f>IF(OR(E52&gt;=0.3,E52&lt;=-0.3),"超过30%","")</f>
        <v/>
      </c>
      <c r="G52" s="490">
        <f>IF(G47&lt;G48,G48/G47-1,G47/G48-1)</f>
        <v>0.20967741935483875</v>
      </c>
      <c r="H52" s="491" t="str">
        <f>IF(OR(G52&gt;=0.3,G52&lt;=-0.3),"超过30%","")</f>
        <v/>
      </c>
      <c r="I52" s="490">
        <f>IF(I47&lt;I48,I48/I47-1,I47/I48-1)</f>
        <v>0.22641509433962259</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2569</v>
      </c>
      <c r="D53" s="492"/>
      <c r="E53" s="490">
        <f>IF(E48&lt;G48,G48/E48-1,E48/G48-1)</f>
        <v>0.1272727272727272</v>
      </c>
      <c r="F53" s="491" t="str">
        <f>IF(OR(E53&gt;=0.2,E53&lt;=-0.2),"超过20%","")</f>
        <v/>
      </c>
      <c r="G53" s="490">
        <f>IF(G48&lt;I48,I48/G48-1,G48/I48-1)</f>
        <v>0.16981132075471694</v>
      </c>
      <c r="H53" s="491" t="str">
        <f>IF(OR(G53&gt;=0.2,G53&lt;=-0.2),"超过20%","")</f>
        <v/>
      </c>
      <c r="I53" s="490">
        <f>IF(I48&lt;E48,E48/I48-1,I48/E48-1)</f>
        <v>3.7735849056603765E-2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2570</v>
      </c>
      <c r="D54" s="492"/>
      <c r="E54" s="490">
        <f>IF(E47&lt;G47,G47/E47-1,E47/G47-1)</f>
        <v>0.15384615384615374</v>
      </c>
      <c r="F54" s="491" t="str">
        <f>IF(OR(E54&gt;=0.3,E54&lt;=-0.3),"超过30%","")</f>
        <v/>
      </c>
      <c r="G54" s="490">
        <f>IF(G47&lt;I47,I47/G47-1,G47/I47-1)</f>
        <v>0.15384615384615374</v>
      </c>
      <c r="H54" s="491" t="str">
        <f>IF(OR(G54&gt;=0.3,G54&lt;=-0.3),"超过30%","")</f>
        <v/>
      </c>
      <c r="I54" s="490">
        <f>IF(I47&lt;E47,E47/I47-1,I47/E47-1)</f>
        <v>0</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1.75" thickBot="1">
      <c r="A57" s="746" t="s">
        <v>2571</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5">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ht="15">
      <c r="A59" s="500"/>
      <c r="B59" s="501"/>
      <c r="C59" s="1556">
        <v>100</v>
      </c>
      <c r="D59" s="503"/>
      <c r="E59" s="503"/>
      <c r="F59" s="503"/>
      <c r="G59" s="503"/>
      <c r="H59" s="503"/>
      <c r="I59" s="503"/>
      <c r="J59" s="503"/>
      <c r="K59" s="503"/>
      <c r="L59" s="503"/>
      <c r="M59" s="504"/>
      <c r="N59" s="503"/>
      <c r="O59" s="504"/>
      <c r="P59" s="2611"/>
    </row>
    <row r="60" spans="1:29" s="113" customFormat="1" ht="15.75" thickBot="1">
      <c r="A60" s="506" t="s">
        <v>2573</v>
      </c>
      <c r="B60" s="507"/>
      <c r="C60" s="508"/>
      <c r="D60" s="509"/>
      <c r="E60" s="509"/>
      <c r="F60" s="509"/>
      <c r="G60" s="509"/>
      <c r="H60" s="509"/>
      <c r="I60" s="509"/>
      <c r="J60" s="509"/>
      <c r="K60" s="509"/>
      <c r="L60" s="509"/>
      <c r="M60" s="510"/>
      <c r="N60" s="509"/>
      <c r="O60" s="510"/>
      <c r="P60" s="2611"/>
      <c r="Q60" s="495"/>
    </row>
    <row r="61" spans="1:29" s="113" customFormat="1" ht="15">
      <c r="A61" s="512" t="s">
        <v>2538</v>
      </c>
      <c r="B61" s="501"/>
      <c r="C61" s="513" t="s">
        <v>2575</v>
      </c>
      <c r="D61" s="514"/>
      <c r="E61" s="514"/>
      <c r="F61" s="514"/>
      <c r="G61" s="514"/>
      <c r="H61" s="514"/>
      <c r="I61" s="514"/>
      <c r="J61" s="514"/>
      <c r="K61" s="514"/>
      <c r="L61" s="515"/>
      <c r="M61" s="516"/>
      <c r="N61" s="1134"/>
      <c r="O61" s="1134"/>
      <c r="P61" s="2612"/>
      <c r="Q61" s="495"/>
    </row>
    <row r="62" spans="1:29" s="113" customFormat="1" ht="15.75" thickBot="1">
      <c r="A62" s="512"/>
      <c r="B62" s="501"/>
      <c r="C62" s="502">
        <v>100</v>
      </c>
      <c r="D62" s="503"/>
      <c r="E62" s="503"/>
      <c r="F62" s="503"/>
      <c r="G62" s="503"/>
      <c r="H62" s="503"/>
      <c r="I62" s="503"/>
      <c r="J62" s="503"/>
      <c r="K62" s="503"/>
      <c r="L62" s="503"/>
      <c r="M62" s="505"/>
      <c r="N62" s="1134"/>
      <c r="O62" s="1134"/>
      <c r="P62" s="2611"/>
      <c r="Q62" s="495"/>
    </row>
    <row r="63" spans="1:29">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5.75" thickBot="1">
      <c r="A64" s="525"/>
      <c r="B64" s="526"/>
      <c r="C64" s="527">
        <v>100</v>
      </c>
      <c r="D64" s="527">
        <v>105</v>
      </c>
      <c r="E64" s="527"/>
      <c r="F64" s="527"/>
      <c r="G64" s="527"/>
      <c r="H64" s="527"/>
      <c r="I64" s="527"/>
      <c r="J64" s="527"/>
      <c r="K64" s="527"/>
      <c r="L64" s="527"/>
      <c r="M64" s="528"/>
      <c r="N64" s="1136"/>
      <c r="O64" s="1136"/>
      <c r="P64" s="2613"/>
      <c r="Q64" s="495"/>
    </row>
    <row r="65" spans="1:17" ht="27.75"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5.75"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7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ht="15">
      <c r="A68" s="525"/>
      <c r="B68" s="539"/>
      <c r="C68" s="540">
        <v>0</v>
      </c>
      <c r="D68" s="540"/>
      <c r="E68" s="540"/>
      <c r="F68" s="540"/>
      <c r="G68" s="540"/>
      <c r="H68" s="540"/>
      <c r="I68" s="540"/>
      <c r="J68" s="540"/>
      <c r="K68" s="541"/>
      <c r="L68" s="542"/>
      <c r="M68" s="543"/>
      <c r="N68" s="1135"/>
      <c r="O68" s="1135"/>
      <c r="P68" s="2613"/>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5.75" thickTop="1">
      <c r="A70" s="544"/>
      <c r="B70" s="529">
        <f>B12</f>
        <v>111</v>
      </c>
      <c r="C70" s="545"/>
      <c r="D70" s="545"/>
      <c r="E70" s="545"/>
      <c r="F70" s="545"/>
      <c r="G70" s="545"/>
      <c r="H70" s="546"/>
      <c r="I70" s="546"/>
      <c r="J70" s="546"/>
      <c r="K70" s="546"/>
      <c r="L70" s="547"/>
      <c r="M70" s="548"/>
      <c r="N70" s="1137"/>
      <c r="O70" s="1137"/>
      <c r="P70" s="2614"/>
      <c r="Q70" s="550"/>
    </row>
    <row r="71" spans="1:17" s="462" customFormat="1" ht="15.75" thickBot="1">
      <c r="A71" s="544"/>
      <c r="B71" s="534"/>
      <c r="C71" s="551"/>
      <c r="D71" s="527"/>
      <c r="E71" s="527"/>
      <c r="F71" s="527"/>
      <c r="G71" s="527"/>
      <c r="H71" s="527"/>
      <c r="I71" s="527"/>
      <c r="J71" s="527"/>
      <c r="K71" s="527"/>
      <c r="L71" s="527"/>
      <c r="M71" s="528"/>
      <c r="N71" s="1136"/>
      <c r="O71" s="1136"/>
      <c r="P71" s="2614"/>
      <c r="Q71" s="550"/>
    </row>
    <row r="72" spans="1:17" s="462" customFormat="1" ht="15.75" thickTop="1">
      <c r="A72" s="544"/>
      <c r="B72" s="529">
        <f>B13</f>
        <v>111</v>
      </c>
      <c r="C72" s="545"/>
      <c r="D72" s="545"/>
      <c r="E72" s="545"/>
      <c r="F72" s="545"/>
      <c r="G72" s="545"/>
      <c r="H72" s="546"/>
      <c r="I72" s="546"/>
      <c r="J72" s="546"/>
      <c r="K72" s="546"/>
      <c r="L72" s="547"/>
      <c r="M72" s="548"/>
      <c r="N72" s="1137"/>
      <c r="O72" s="1137"/>
      <c r="P72" s="2615"/>
      <c r="Q72" s="552"/>
    </row>
    <row r="73" spans="1:17" s="462" customFormat="1" ht="15.75" thickBot="1">
      <c r="A73" s="544"/>
      <c r="B73" s="534"/>
      <c r="C73" s="551"/>
      <c r="D73" s="527"/>
      <c r="E73" s="527"/>
      <c r="F73" s="527"/>
      <c r="G73" s="551"/>
      <c r="H73" s="553"/>
      <c r="I73" s="553"/>
      <c r="J73" s="553"/>
      <c r="K73" s="553"/>
      <c r="L73" s="553"/>
      <c r="M73" s="554"/>
      <c r="N73" s="1137"/>
      <c r="O73" s="1137"/>
      <c r="P73" s="2614"/>
      <c r="Q73" s="550"/>
    </row>
    <row r="74" spans="1:17" s="462" customFormat="1" ht="15.75" thickTop="1">
      <c r="A74" s="544"/>
      <c r="B74" s="537">
        <f>B14</f>
        <v>111</v>
      </c>
      <c r="C74" s="545"/>
      <c r="D74" s="545"/>
      <c r="E74" s="545"/>
      <c r="F74" s="545"/>
      <c r="G74" s="514"/>
      <c r="H74" s="555"/>
      <c r="I74" s="555"/>
      <c r="J74" s="555"/>
      <c r="K74" s="555"/>
      <c r="L74" s="556"/>
      <c r="M74" s="557"/>
      <c r="N74" s="1137"/>
      <c r="O74" s="1137"/>
      <c r="P74" s="2616"/>
      <c r="Q74" s="550"/>
    </row>
    <row r="75" spans="1:17" s="462" customFormat="1" ht="15.75" thickBot="1">
      <c r="A75" s="559"/>
      <c r="B75" s="560"/>
      <c r="C75" s="561"/>
      <c r="D75" s="561"/>
      <c r="E75" s="561"/>
      <c r="F75" s="561"/>
      <c r="G75" s="561"/>
      <c r="H75" s="562"/>
      <c r="I75" s="562"/>
      <c r="J75" s="562"/>
      <c r="K75" s="562"/>
      <c r="L75" s="562"/>
      <c r="M75" s="563"/>
      <c r="N75" s="1137"/>
      <c r="O75" s="1137"/>
      <c r="P75" s="2614"/>
      <c r="Q75" s="550"/>
    </row>
    <row r="76" spans="1:17">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7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5.75"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7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7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5.75"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7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7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5.75"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5.75" thickBot="1">
      <c r="A89" s="570"/>
      <c r="B89" s="534"/>
      <c r="C89" s="551"/>
      <c r="D89" s="527"/>
      <c r="E89" s="527"/>
      <c r="F89" s="527"/>
      <c r="G89" s="527"/>
      <c r="H89" s="527"/>
      <c r="I89" s="527"/>
      <c r="J89" s="527"/>
      <c r="K89" s="527"/>
      <c r="L89" s="527"/>
      <c r="M89" s="527"/>
      <c r="N89" s="1136"/>
      <c r="O89" s="1136"/>
      <c r="P89" s="2613"/>
      <c r="Q89" s="495"/>
    </row>
    <row r="90" spans="1:17" s="462" customFormat="1" ht="15.7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5.75" thickBot="1">
      <c r="A91" s="544"/>
      <c r="B91" s="534"/>
      <c r="C91" s="573">
        <v>100</v>
      </c>
      <c r="D91" s="535">
        <f>C91-$K27</f>
        <v>97</v>
      </c>
      <c r="E91" s="535">
        <f t="shared" ref="E91:M91" si="21">D91-$K27</f>
        <v>94</v>
      </c>
      <c r="F91" s="535">
        <f t="shared" si="21"/>
        <v>91</v>
      </c>
      <c r="G91" s="535">
        <f t="shared" si="21"/>
        <v>88</v>
      </c>
      <c r="H91" s="535">
        <f t="shared" si="21"/>
        <v>85</v>
      </c>
      <c r="I91" s="535">
        <f t="shared" si="21"/>
        <v>82</v>
      </c>
      <c r="J91" s="535">
        <f t="shared" si="21"/>
        <v>79</v>
      </c>
      <c r="K91" s="535">
        <f t="shared" si="21"/>
        <v>76</v>
      </c>
      <c r="L91" s="535">
        <f t="shared" si="21"/>
        <v>73</v>
      </c>
      <c r="M91" s="535">
        <f t="shared" si="21"/>
        <v>70</v>
      </c>
      <c r="N91" s="1137"/>
      <c r="O91" s="1137"/>
      <c r="P91" s="2614"/>
      <c r="Q91" s="550"/>
    </row>
    <row r="92" spans="1:17" ht="15.75" thickTop="1">
      <c r="A92" s="525"/>
      <c r="B92" s="529" t="str">
        <f>B28</f>
        <v>楼层</v>
      </c>
      <c r="C92" s="545"/>
      <c r="D92" s="545"/>
      <c r="E92" s="545"/>
      <c r="F92" s="545"/>
      <c r="G92" s="545"/>
      <c r="H92" s="545"/>
      <c r="I92" s="545"/>
      <c r="J92" s="545"/>
      <c r="K92" s="545"/>
      <c r="L92" s="571"/>
      <c r="M92" s="572"/>
      <c r="N92" s="1135"/>
      <c r="O92" s="1135"/>
      <c r="P92" s="2613"/>
      <c r="Q92" s="495"/>
    </row>
    <row r="93" spans="1:17" ht="15.75" thickBot="1">
      <c r="A93" s="525"/>
      <c r="B93" s="534"/>
      <c r="C93" s="527"/>
      <c r="D93" s="527"/>
      <c r="E93" s="527"/>
      <c r="F93" s="527"/>
      <c r="G93" s="527"/>
      <c r="H93" s="527"/>
      <c r="I93" s="527"/>
      <c r="J93" s="527"/>
      <c r="K93" s="527"/>
      <c r="L93" s="527"/>
      <c r="M93" s="528"/>
      <c r="N93" s="1136"/>
      <c r="O93" s="1136"/>
      <c r="P93" s="2613"/>
      <c r="Q93" s="495"/>
    </row>
    <row r="94" spans="1:17" ht="15.75" thickTop="1">
      <c r="A94" s="525"/>
      <c r="B94" s="529">
        <f>B29</f>
        <v>111</v>
      </c>
      <c r="C94" s="545"/>
      <c r="D94" s="545"/>
      <c r="E94" s="545"/>
      <c r="F94" s="545"/>
      <c r="G94" s="574"/>
      <c r="H94" s="574"/>
      <c r="I94" s="574"/>
      <c r="J94" s="574"/>
      <c r="K94" s="575"/>
      <c r="L94" s="576"/>
      <c r="M94" s="577"/>
      <c r="N94" s="1135"/>
      <c r="O94" s="1135"/>
      <c r="P94" s="2613"/>
      <c r="Q94" s="495"/>
    </row>
    <row r="95" spans="1:17" ht="15.75" thickBot="1">
      <c r="A95" s="525"/>
      <c r="B95" s="534"/>
      <c r="C95" s="551"/>
      <c r="D95" s="527"/>
      <c r="E95" s="527"/>
      <c r="F95" s="527"/>
      <c r="G95" s="527"/>
      <c r="H95" s="527"/>
      <c r="I95" s="527"/>
      <c r="J95" s="527"/>
      <c r="K95" s="527"/>
      <c r="L95" s="527"/>
      <c r="M95" s="528"/>
      <c r="N95" s="1136"/>
      <c r="O95" s="1136"/>
      <c r="P95" s="2613"/>
      <c r="Q95" s="495"/>
    </row>
    <row r="96" spans="1:17" ht="15.75" thickTop="1">
      <c r="A96" s="525"/>
      <c r="B96" s="529">
        <f>B30</f>
        <v>111</v>
      </c>
      <c r="C96" s="545"/>
      <c r="D96" s="545"/>
      <c r="E96" s="545"/>
      <c r="F96" s="545"/>
      <c r="G96" s="574"/>
      <c r="H96" s="574"/>
      <c r="I96" s="574"/>
      <c r="J96" s="574"/>
      <c r="K96" s="575"/>
      <c r="L96" s="576"/>
      <c r="M96" s="577"/>
      <c r="N96" s="1135"/>
      <c r="O96" s="1135"/>
      <c r="P96" s="2613"/>
      <c r="Q96" s="495"/>
    </row>
    <row r="97" spans="1:17" ht="15.75" thickBot="1">
      <c r="A97" s="525"/>
      <c r="B97" s="534"/>
      <c r="C97" s="551"/>
      <c r="D97" s="527"/>
      <c r="E97" s="527"/>
      <c r="F97" s="527"/>
      <c r="G97" s="527"/>
      <c r="H97" s="527"/>
      <c r="I97" s="527"/>
      <c r="J97" s="527"/>
      <c r="K97" s="527"/>
      <c r="L97" s="527"/>
      <c r="M97" s="528"/>
      <c r="N97" s="1136"/>
      <c r="O97" s="1136"/>
      <c r="P97" s="2613"/>
      <c r="Q97" s="495"/>
    </row>
    <row r="98" spans="1:17" ht="15.75" thickTop="1">
      <c r="A98" s="525"/>
      <c r="B98" s="537">
        <f>B31</f>
        <v>111</v>
      </c>
      <c r="C98" s="545"/>
      <c r="D98" s="545"/>
      <c r="E98" s="545"/>
      <c r="F98" s="545"/>
      <c r="G98" s="578"/>
      <c r="H98" s="578"/>
      <c r="I98" s="578"/>
      <c r="J98" s="578"/>
      <c r="K98" s="579"/>
      <c r="L98" s="580"/>
      <c r="M98" s="581"/>
      <c r="N98" s="1135"/>
      <c r="O98" s="1135"/>
      <c r="P98" s="2613"/>
      <c r="Q98" s="495"/>
    </row>
    <row r="99" spans="1:17" ht="15.75" thickBot="1">
      <c r="A99" s="2619"/>
      <c r="B99" s="560"/>
      <c r="C99" s="561"/>
      <c r="D99" s="561"/>
      <c r="E99" s="561"/>
      <c r="F99" s="561"/>
      <c r="G99" s="582"/>
      <c r="H99" s="582"/>
      <c r="I99" s="582"/>
      <c r="J99" s="582"/>
      <c r="K99" s="582"/>
      <c r="L99" s="582"/>
      <c r="M99" s="583"/>
      <c r="N99" s="1136"/>
      <c r="O99" s="1136"/>
      <c r="P99" s="2613"/>
      <c r="Q99" s="495"/>
    </row>
    <row r="100" spans="1:17">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7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5.75"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5.75"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5.75"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5.75"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3122</v>
      </c>
      <c r="D112" s="2962" t="s">
        <v>3123</v>
      </c>
      <c r="E112" s="545"/>
      <c r="F112" s="545"/>
      <c r="G112" s="545"/>
      <c r="H112" s="574"/>
      <c r="I112" s="574"/>
      <c r="J112" s="574"/>
      <c r="K112" s="575"/>
      <c r="L112" s="576"/>
      <c r="M112" s="577"/>
      <c r="N112" s="1137"/>
      <c r="O112" s="1137"/>
      <c r="P112" s="2614"/>
      <c r="Q112" s="550"/>
    </row>
    <row r="113" spans="1:17" s="462" customFormat="1" ht="15.75"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3119</v>
      </c>
      <c r="D114" s="2962" t="s">
        <v>3121</v>
      </c>
      <c r="E114" s="574"/>
      <c r="F114" s="574"/>
      <c r="G114" s="574"/>
      <c r="H114" s="574"/>
      <c r="I114" s="574"/>
      <c r="J114" s="574"/>
      <c r="K114" s="575"/>
      <c r="L114" s="576"/>
      <c r="M114" s="577"/>
      <c r="N114" s="1135"/>
      <c r="O114" s="1135"/>
      <c r="P114" s="2613"/>
      <c r="Q114" s="495"/>
    </row>
    <row r="115" spans="1:17" ht="15.75"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5.75"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5.75"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5.75"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5.75"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15"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5.75"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5.75" thickBot="1">
      <c r="A127" s="544"/>
      <c r="B127" s="534"/>
      <c r="C127" s="2966">
        <v>100</v>
      </c>
      <c r="D127" s="2965">
        <v>105</v>
      </c>
      <c r="E127" s="527"/>
      <c r="F127" s="527"/>
      <c r="G127" s="551"/>
      <c r="H127" s="553"/>
      <c r="I127" s="553"/>
      <c r="J127" s="553"/>
      <c r="K127" s="553"/>
      <c r="L127" s="553"/>
      <c r="M127" s="554"/>
      <c r="N127" s="1137"/>
      <c r="O127" s="1137"/>
      <c r="P127" s="2614"/>
      <c r="Q127" s="550"/>
    </row>
    <row r="128" spans="1:17" ht="15" thickTop="1">
      <c r="A128" s="590"/>
      <c r="B128" s="529">
        <f>B45</f>
        <v>111</v>
      </c>
      <c r="C128" s="545"/>
      <c r="D128" s="545"/>
      <c r="E128" s="545"/>
      <c r="F128" s="545"/>
      <c r="G128" s="574"/>
      <c r="H128" s="574"/>
      <c r="I128" s="574"/>
      <c r="J128" s="574"/>
      <c r="K128" s="575"/>
      <c r="L128" s="576"/>
      <c r="M128" s="577"/>
      <c r="N128" s="1135"/>
      <c r="O128" s="1135"/>
      <c r="P128" s="2613"/>
      <c r="Q128" s="495"/>
    </row>
    <row r="129" spans="1:17" ht="15.75" thickBot="1">
      <c r="A129" s="525"/>
      <c r="B129" s="534"/>
      <c r="C129" s="551"/>
      <c r="D129" s="527"/>
      <c r="E129" s="527"/>
      <c r="F129" s="527"/>
      <c r="G129" s="527"/>
      <c r="H129" s="527"/>
      <c r="I129" s="527"/>
      <c r="J129" s="527"/>
      <c r="K129" s="527"/>
      <c r="L129" s="527"/>
      <c r="M129" s="528"/>
      <c r="N129" s="1136"/>
      <c r="O129" s="1136"/>
      <c r="P129" s="2613"/>
      <c r="Q129" s="495"/>
    </row>
    <row r="130" spans="1:17" ht="15" thickTop="1">
      <c r="A130" s="590"/>
      <c r="B130" s="537">
        <f>B46</f>
        <v>111</v>
      </c>
      <c r="C130" s="545"/>
      <c r="D130" s="545"/>
      <c r="E130" s="545"/>
      <c r="F130" s="545"/>
      <c r="G130" s="578"/>
      <c r="H130" s="578"/>
      <c r="I130" s="578"/>
      <c r="J130" s="578"/>
      <c r="K130" s="514"/>
      <c r="L130" s="515"/>
      <c r="M130" s="581"/>
      <c r="N130" s="1135"/>
      <c r="O130" s="1135"/>
      <c r="P130" s="2613"/>
      <c r="Q130" s="495"/>
    </row>
    <row r="131" spans="1:17" ht="15.75"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3" priority="16"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50" sqref="L50"/>
    </sheetView>
  </sheetViews>
  <sheetFormatPr defaultColWidth="8.875" defaultRowHeight="14.25"/>
  <cols>
    <col min="1" max="1" width="10.5" style="394" customWidth="1"/>
    <col min="2" max="2" width="15.75" style="394" customWidth="1"/>
    <col min="3" max="3" width="15.125" style="394" customWidth="1"/>
    <col min="4" max="4" width="12.25" style="394" customWidth="1"/>
    <col min="5" max="5" width="16.375" style="394" customWidth="1"/>
    <col min="6" max="6" width="12.25" style="394" customWidth="1"/>
    <col min="7" max="7" width="15.37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2607"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8.875" style="394"/>
  </cols>
  <sheetData>
    <row r="1" spans="1:29" s="1612" customFormat="1" ht="28.5" customHeight="1" thickBot="1">
      <c r="A1" s="1601" t="s">
        <v>2516</v>
      </c>
      <c r="B1" s="2565" t="s">
        <v>2630</v>
      </c>
      <c r="C1" s="1617" t="s">
        <v>2518</v>
      </c>
      <c r="D1" s="1604" t="s">
        <v>3047</v>
      </c>
      <c r="E1" s="2640"/>
      <c r="F1" s="2567" t="s">
        <v>3086</v>
      </c>
      <c r="G1" s="1614" t="s">
        <v>2631</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2315</v>
      </c>
      <c r="B2" s="1401">
        <f>IF(C2="——",ROUND(C49*D3/10000,0),ROUND(C49*D3/10000,0)-D2)</f>
        <v>419</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2317</v>
      </c>
      <c r="B3" s="600">
        <f>IF(C2="——",C49,ROUND(B2*10000/D3,0))</f>
        <v>33277</v>
      </c>
      <c r="C3" s="391" t="s">
        <v>2632</v>
      </c>
      <c r="D3" s="390">
        <f>IF(D1="",'数据-汇总表'!E3,SUMIF('数据-汇总表'!$C19:$C33,D1,'数据-汇总表'!$E19:$E33))</f>
        <v>125.85</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5">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15" t="s">
        <v>2636</v>
      </c>
      <c r="AC4" s="3225" t="s">
        <v>2637</v>
      </c>
    </row>
    <row r="5" spans="1:29" ht="13.9" customHeight="1">
      <c r="A5" s="395"/>
      <c r="B5" s="396"/>
      <c r="C5" s="3239" t="s">
        <v>2530</v>
      </c>
      <c r="D5" s="3240"/>
      <c r="E5" s="3241" t="s">
        <v>3088</v>
      </c>
      <c r="F5" s="3242"/>
      <c r="G5" s="3243" t="s">
        <v>3087</v>
      </c>
      <c r="H5" s="3244"/>
      <c r="I5" s="3243" t="s">
        <v>3059</v>
      </c>
      <c r="J5" s="3244"/>
      <c r="K5" s="601"/>
      <c r="L5" s="1113"/>
      <c r="M5" s="1114"/>
      <c r="N5" s="1114"/>
      <c r="O5" s="1114"/>
      <c r="P5" s="3235"/>
      <c r="Q5" s="3236"/>
      <c r="R5" s="3221"/>
      <c r="S5" s="3222"/>
      <c r="T5" s="3221"/>
      <c r="U5" s="3222"/>
      <c r="V5" s="3215"/>
      <c r="W5" s="3215"/>
      <c r="X5" s="1796"/>
      <c r="Y5" s="3221"/>
      <c r="Z5" s="3222"/>
      <c r="AA5" s="3226"/>
      <c r="AB5" s="3215"/>
      <c r="AC5" s="3226"/>
    </row>
    <row r="6" spans="1:29" ht="15.7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15"/>
      <c r="AC6" s="3227"/>
    </row>
    <row r="7" spans="1:29" s="113" customFormat="1" ht="15.7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16" t="s">
        <v>2537</v>
      </c>
      <c r="Q7" s="3228"/>
      <c r="R7" s="753" t="s">
        <v>17</v>
      </c>
      <c r="S7" s="754">
        <f t="shared" ref="S7:S15" si="0">F7</f>
        <v>100</v>
      </c>
      <c r="T7" s="753" t="s">
        <v>17</v>
      </c>
      <c r="U7" s="754">
        <f t="shared" ref="U7:U15" si="1">H7</f>
        <v>100</v>
      </c>
      <c r="V7" s="753" t="s">
        <v>17</v>
      </c>
      <c r="W7" s="754">
        <f t="shared" ref="W7:W15" si="2">J7</f>
        <v>100</v>
      </c>
      <c r="X7" s="755"/>
      <c r="Y7" s="3216" t="s">
        <v>2537</v>
      </c>
      <c r="Z7" s="3217"/>
      <c r="AA7" s="756">
        <f>D7/F7</f>
        <v>1</v>
      </c>
      <c r="AB7" s="756">
        <f>D7/H7</f>
        <v>1</v>
      </c>
      <c r="AC7" s="756">
        <f>D7/J7</f>
        <v>1</v>
      </c>
    </row>
    <row r="8" spans="1:29" s="113" customFormat="1" ht="15.75" thickBot="1">
      <c r="A8" s="399" t="s">
        <v>2538</v>
      </c>
      <c r="B8" s="400"/>
      <c r="C8" s="405" t="s">
        <v>2640</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16" t="s">
        <v>2540</v>
      </c>
      <c r="Q8" s="3217"/>
      <c r="R8" s="753" t="s">
        <v>17</v>
      </c>
      <c r="S8" s="754">
        <f t="shared" si="0"/>
        <v>100</v>
      </c>
      <c r="T8" s="753" t="s">
        <v>17</v>
      </c>
      <c r="U8" s="754">
        <f t="shared" si="1"/>
        <v>100</v>
      </c>
      <c r="V8" s="753" t="s">
        <v>17</v>
      </c>
      <c r="W8" s="754">
        <f t="shared" si="2"/>
        <v>100</v>
      </c>
      <c r="X8" s="755"/>
      <c r="Y8" s="3216" t="s">
        <v>2540</v>
      </c>
      <c r="Z8" s="3217"/>
      <c r="AA8" s="756">
        <f t="shared" ref="AA8:AA46" si="3">D8/F8</f>
        <v>1</v>
      </c>
      <c r="AB8" s="756">
        <f t="shared" ref="AB8:AB46" si="4">D8/H8</f>
        <v>1</v>
      </c>
      <c r="AC8" s="756">
        <f t="shared" ref="AC8:AC46" si="5">D8/J8</f>
        <v>1</v>
      </c>
    </row>
    <row r="9" spans="1:29" s="113" customFormat="1">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18" t="s">
        <v>2543</v>
      </c>
      <c r="Q9" s="1778" t="str">
        <f t="shared" ref="Q9:Q15" si="6">B9</f>
        <v>用途</v>
      </c>
      <c r="R9" s="753" t="s">
        <v>17</v>
      </c>
      <c r="S9" s="754">
        <f t="shared" si="0"/>
        <v>105</v>
      </c>
      <c r="T9" s="753" t="s">
        <v>17</v>
      </c>
      <c r="U9" s="754">
        <f t="shared" si="1"/>
        <v>105</v>
      </c>
      <c r="V9" s="753" t="s">
        <v>17</v>
      </c>
      <c r="W9" s="754">
        <f t="shared" si="2"/>
        <v>105</v>
      </c>
      <c r="X9" s="755"/>
      <c r="Y9" s="3073" t="s">
        <v>2544</v>
      </c>
      <c r="Z9" s="55" t="str">
        <f t="shared" ref="Z9:Z15" si="7">Q9</f>
        <v>用途</v>
      </c>
      <c r="AA9" s="756">
        <f t="shared" si="3"/>
        <v>0.95238095238095233</v>
      </c>
      <c r="AB9" s="756">
        <f t="shared" si="4"/>
        <v>0.95238095238095233</v>
      </c>
      <c r="AC9" s="756">
        <f t="shared" si="5"/>
        <v>0.95238095238095233</v>
      </c>
    </row>
    <row r="10" spans="1:29" s="418" customFormat="1" ht="27">
      <c r="A10" s="412"/>
      <c r="B10" s="413"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75" thickBot="1">
      <c r="A11" s="419"/>
      <c r="B11" s="413"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18"/>
      <c r="Q11" s="1778" t="str">
        <f t="shared" si="6"/>
        <v>容积率</v>
      </c>
      <c r="R11" s="753" t="s">
        <v>17</v>
      </c>
      <c r="S11" s="754">
        <f t="shared" si="0"/>
        <v>100</v>
      </c>
      <c r="T11" s="753" t="s">
        <v>17</v>
      </c>
      <c r="U11" s="754">
        <f t="shared" si="1"/>
        <v>100</v>
      </c>
      <c r="V11" s="753" t="s">
        <v>17</v>
      </c>
      <c r="W11" s="754">
        <f t="shared" si="2"/>
        <v>100</v>
      </c>
      <c r="X11" s="755"/>
      <c r="Y11" s="3073"/>
      <c r="Z11" s="55" t="str">
        <f t="shared" si="7"/>
        <v>容积率</v>
      </c>
      <c r="AA11" s="756">
        <f t="shared" si="3"/>
        <v>1</v>
      </c>
      <c r="AB11" s="756">
        <f t="shared" si="4"/>
        <v>1</v>
      </c>
      <c r="AC11" s="756">
        <f t="shared" si="5"/>
        <v>1</v>
      </c>
    </row>
    <row r="12" spans="1:29" s="113" customFormat="1" ht="15" hidden="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18"/>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hidden="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18"/>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75"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18"/>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206" t="s">
        <v>2548</v>
      </c>
      <c r="Q15" s="1793" t="str">
        <f t="shared" si="6"/>
        <v>商业繁华度</v>
      </c>
      <c r="R15" s="757" t="s">
        <v>17</v>
      </c>
      <c r="S15" s="758">
        <f t="shared" si="0"/>
        <v>100</v>
      </c>
      <c r="T15" s="757" t="s">
        <v>17</v>
      </c>
      <c r="U15" s="758">
        <f t="shared" si="1"/>
        <v>102</v>
      </c>
      <c r="V15" s="757" t="s">
        <v>17</v>
      </c>
      <c r="W15" s="758">
        <f t="shared" si="2"/>
        <v>102</v>
      </c>
      <c r="X15" s="1796"/>
      <c r="Y15" s="3208" t="s">
        <v>2548</v>
      </c>
      <c r="Z15" s="1797" t="str">
        <f t="shared" si="7"/>
        <v>商业繁华度</v>
      </c>
      <c r="AA15" s="1794">
        <f t="shared" si="3"/>
        <v>1</v>
      </c>
      <c r="AB15" s="1794">
        <f t="shared" si="4"/>
        <v>0.98039215686274506</v>
      </c>
      <c r="AC15" s="1794">
        <f t="shared" si="5"/>
        <v>0.98039215686274506</v>
      </c>
    </row>
    <row r="16" spans="1:29" ht="15">
      <c r="A16" s="419"/>
      <c r="B16" s="437"/>
      <c r="C16" s="438" t="s">
        <v>3062</v>
      </c>
      <c r="D16" s="439"/>
      <c r="E16" s="438" t="s">
        <v>3062</v>
      </c>
      <c r="F16" s="440"/>
      <c r="G16" s="438" t="s">
        <v>3063</v>
      </c>
      <c r="H16" s="441"/>
      <c r="I16" s="438" t="s">
        <v>3063</v>
      </c>
      <c r="J16" s="439"/>
      <c r="K16" s="606"/>
      <c r="L16" s="1123"/>
      <c r="M16" s="1114"/>
      <c r="N16" s="1114"/>
      <c r="O16" s="1114"/>
      <c r="P16" s="3207"/>
      <c r="Q16" s="1793"/>
      <c r="R16" s="757"/>
      <c r="S16" s="758"/>
      <c r="T16" s="757"/>
      <c r="U16" s="758"/>
      <c r="V16" s="757"/>
      <c r="W16" s="758"/>
      <c r="X16" s="1796"/>
      <c r="Y16" s="3209"/>
      <c r="Z16" s="1797"/>
      <c r="AA16" s="1794">
        <v>1</v>
      </c>
      <c r="AB16" s="1794">
        <v>1</v>
      </c>
      <c r="AC16" s="1794">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07"/>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1794">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07"/>
      <c r="Q18" s="1793"/>
      <c r="R18" s="757"/>
      <c r="S18" s="758"/>
      <c r="T18" s="757"/>
      <c r="U18" s="758"/>
      <c r="V18" s="757"/>
      <c r="W18" s="758"/>
      <c r="X18" s="1796"/>
      <c r="Y18" s="3209"/>
      <c r="Z18" s="1797"/>
      <c r="AA18" s="1794">
        <v>1</v>
      </c>
      <c r="AB18" s="1794">
        <v>1</v>
      </c>
      <c r="AC18" s="1794">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07"/>
      <c r="Q19" s="1793" t="str">
        <f>B19</f>
        <v>公共配套设施</v>
      </c>
      <c r="R19" s="757" t="s">
        <v>17</v>
      </c>
      <c r="S19" s="758">
        <f>F19</f>
        <v>100</v>
      </c>
      <c r="T19" s="757" t="s">
        <v>17</v>
      </c>
      <c r="U19" s="758">
        <f>H19</f>
        <v>100</v>
      </c>
      <c r="V19" s="757" t="s">
        <v>17</v>
      </c>
      <c r="W19" s="758">
        <f>J19</f>
        <v>100</v>
      </c>
      <c r="X19" s="1796"/>
      <c r="Y19" s="3209"/>
      <c r="Z19" s="1797" t="str">
        <f>Q19</f>
        <v>公共配套设施</v>
      </c>
      <c r="AA19" s="1794">
        <f t="shared" si="3"/>
        <v>1</v>
      </c>
      <c r="AB19" s="1794">
        <f t="shared" si="4"/>
        <v>1</v>
      </c>
      <c r="AC19" s="1794">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07"/>
      <c r="Q20" s="1793"/>
      <c r="R20" s="757"/>
      <c r="S20" s="758"/>
      <c r="T20" s="757"/>
      <c r="U20" s="758"/>
      <c r="V20" s="757"/>
      <c r="W20" s="758"/>
      <c r="X20" s="1796"/>
      <c r="Y20" s="3209"/>
      <c r="Z20" s="1797"/>
      <c r="AA20" s="1794">
        <v>1</v>
      </c>
      <c r="AB20" s="1794">
        <v>1</v>
      </c>
      <c r="AC20" s="1794">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07"/>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1794">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07"/>
      <c r="Q22" s="1793"/>
      <c r="R22" s="757"/>
      <c r="S22" s="758"/>
      <c r="T22" s="757"/>
      <c r="U22" s="758"/>
      <c r="V22" s="757"/>
      <c r="W22" s="758"/>
      <c r="X22" s="1796"/>
      <c r="Y22" s="3209"/>
      <c r="Z22" s="1797"/>
      <c r="AA22" s="1794">
        <v>1</v>
      </c>
      <c r="AB22" s="1794">
        <v>1</v>
      </c>
      <c r="AC22" s="1794">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07"/>
      <c r="Q23" s="1793" t="str">
        <f>B23</f>
        <v>自然及人文环境</v>
      </c>
      <c r="R23" s="757" t="s">
        <v>17</v>
      </c>
      <c r="S23" s="758">
        <f>F23</f>
        <v>100</v>
      </c>
      <c r="T23" s="757" t="s">
        <v>17</v>
      </c>
      <c r="U23" s="758">
        <f>H23</f>
        <v>100</v>
      </c>
      <c r="V23" s="757" t="s">
        <v>17</v>
      </c>
      <c r="W23" s="758">
        <f>J23</f>
        <v>100</v>
      </c>
      <c r="X23" s="1796"/>
      <c r="Y23" s="3209"/>
      <c r="Z23" s="1797" t="str">
        <f>Q23</f>
        <v>自然及人文环境</v>
      </c>
      <c r="AA23" s="1794">
        <f t="shared" si="3"/>
        <v>1</v>
      </c>
      <c r="AB23" s="1794">
        <f t="shared" si="4"/>
        <v>1</v>
      </c>
      <c r="AC23" s="1794">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07"/>
      <c r="Q24" s="1793"/>
      <c r="R24" s="757"/>
      <c r="S24" s="758"/>
      <c r="T24" s="757"/>
      <c r="U24" s="758"/>
      <c r="V24" s="757"/>
      <c r="W24" s="758"/>
      <c r="X24" s="1796"/>
      <c r="Y24" s="3209"/>
      <c r="Z24" s="1797"/>
      <c r="AA24" s="1794">
        <v>1</v>
      </c>
      <c r="AB24" s="1794">
        <v>1</v>
      </c>
      <c r="AC24" s="1794">
        <v>1</v>
      </c>
    </row>
    <row r="25" spans="1:29" ht="15">
      <c r="A25" s="419"/>
      <c r="B25" s="413"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07"/>
      <c r="Q25" s="1793" t="str">
        <f t="shared" ref="Q25:Q46" si="11">B25</f>
        <v>临街状况</v>
      </c>
      <c r="R25" s="757" t="s">
        <v>17</v>
      </c>
      <c r="S25" s="758">
        <f>F25</f>
        <v>100</v>
      </c>
      <c r="T25" s="757" t="s">
        <v>17</v>
      </c>
      <c r="U25" s="758">
        <f>H25</f>
        <v>100</v>
      </c>
      <c r="V25" s="757" t="s">
        <v>17</v>
      </c>
      <c r="W25" s="758">
        <f>J25</f>
        <v>100</v>
      </c>
      <c r="X25" s="1796"/>
      <c r="Y25" s="3209"/>
      <c r="Z25" s="1797" t="str">
        <f>Q25</f>
        <v>临街状况</v>
      </c>
      <c r="AA25" s="1794">
        <f t="shared" si="3"/>
        <v>1</v>
      </c>
      <c r="AB25" s="1794">
        <f t="shared" si="4"/>
        <v>1</v>
      </c>
      <c r="AC25" s="1794">
        <f t="shared" si="5"/>
        <v>1</v>
      </c>
    </row>
    <row r="26" spans="1:29" ht="28.9"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07"/>
      <c r="Q26" s="1793" t="str">
        <f t="shared" si="11"/>
        <v>平面位置/可视性</v>
      </c>
      <c r="R26" s="757" t="s">
        <v>17</v>
      </c>
      <c r="S26" s="758">
        <f>F26</f>
        <v>100</v>
      </c>
      <c r="T26" s="757" t="s">
        <v>17</v>
      </c>
      <c r="U26" s="758">
        <f>H26</f>
        <v>100</v>
      </c>
      <c r="V26" s="757" t="s">
        <v>17</v>
      </c>
      <c r="W26" s="758">
        <f>J26</f>
        <v>100</v>
      </c>
      <c r="X26" s="1796"/>
      <c r="Y26" s="3209"/>
      <c r="Z26" s="1797" t="str">
        <f>Q26</f>
        <v>平面位置/可视性</v>
      </c>
      <c r="AA26" s="1794">
        <f t="shared" si="3"/>
        <v>1</v>
      </c>
      <c r="AB26" s="1794">
        <f t="shared" si="4"/>
        <v>1</v>
      </c>
      <c r="AC26" s="1794">
        <f t="shared" si="5"/>
        <v>1</v>
      </c>
    </row>
    <row r="27" spans="1:29" s="113" customFormat="1" ht="15">
      <c r="A27" s="422"/>
      <c r="B27" s="442" t="s">
        <v>2646</v>
      </c>
      <c r="C27" s="2648" t="s">
        <v>3062</v>
      </c>
      <c r="D27" s="453">
        <v>100</v>
      </c>
      <c r="E27" s="2648" t="s">
        <v>3062</v>
      </c>
      <c r="F27" s="455">
        <f>SUMIF(90:90,E27,91:91)-SUMIF(90:90,C27,91:91)+100</f>
        <v>100</v>
      </c>
      <c r="G27" s="2648" t="s">
        <v>3062</v>
      </c>
      <c r="H27" s="453">
        <f>SUMIF(90:90,G27,91:91)-SUMIF(90:90,C27,91:91)+100</f>
        <v>100</v>
      </c>
      <c r="I27" s="2648" t="s">
        <v>3067</v>
      </c>
      <c r="J27" s="453">
        <f>SUMIF(90:90,I27,91:91)-SUMIF(90:90,C27,91:91)+100</f>
        <v>102</v>
      </c>
      <c r="K27" s="603">
        <v>2</v>
      </c>
      <c r="L27" s="1115"/>
      <c r="M27" s="1116"/>
      <c r="N27" s="1116"/>
      <c r="O27" s="1116"/>
      <c r="P27" s="3207"/>
      <c r="Q27" s="1778" t="str">
        <f t="shared" si="11"/>
        <v>人流量</v>
      </c>
      <c r="R27" s="753" t="s">
        <v>17</v>
      </c>
      <c r="S27" s="754">
        <f>F27</f>
        <v>100</v>
      </c>
      <c r="T27" s="753" t="s">
        <v>17</v>
      </c>
      <c r="U27" s="754">
        <f>H27</f>
        <v>100</v>
      </c>
      <c r="V27" s="753" t="s">
        <v>17</v>
      </c>
      <c r="W27" s="754">
        <f>J27</f>
        <v>102</v>
      </c>
      <c r="X27" s="755"/>
      <c r="Y27" s="3209"/>
      <c r="Z27" s="55" t="str">
        <f>Q27</f>
        <v>人流量</v>
      </c>
      <c r="AA27" s="1794">
        <f>D27/F27</f>
        <v>1</v>
      </c>
      <c r="AB27" s="1794">
        <f>D27/H27</f>
        <v>1</v>
      </c>
      <c r="AC27" s="1794">
        <f>D27/J27</f>
        <v>0.98039215686274506</v>
      </c>
    </row>
    <row r="28" spans="1:29" ht="15.75" thickBot="1">
      <c r="A28" s="419"/>
      <c r="B28" s="413"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07"/>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209"/>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07"/>
      <c r="Q29" s="1793">
        <f t="shared" si="11"/>
        <v>111</v>
      </c>
      <c r="R29" s="757" t="s">
        <v>17</v>
      </c>
      <c r="S29" s="758">
        <f t="shared" si="12"/>
        <v>100</v>
      </c>
      <c r="T29" s="757" t="s">
        <v>17</v>
      </c>
      <c r="U29" s="758">
        <f t="shared" si="13"/>
        <v>100</v>
      </c>
      <c r="V29" s="757" t="s">
        <v>17</v>
      </c>
      <c r="W29" s="758">
        <f t="shared" si="14"/>
        <v>100</v>
      </c>
      <c r="X29" s="1796"/>
      <c r="Y29" s="3209"/>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07"/>
      <c r="Q30" s="1793">
        <f t="shared" si="11"/>
        <v>111</v>
      </c>
      <c r="R30" s="757" t="s">
        <v>17</v>
      </c>
      <c r="S30" s="758">
        <f t="shared" si="12"/>
        <v>100</v>
      </c>
      <c r="T30" s="757" t="s">
        <v>17</v>
      </c>
      <c r="U30" s="758">
        <f t="shared" si="13"/>
        <v>100</v>
      </c>
      <c r="V30" s="757" t="s">
        <v>17</v>
      </c>
      <c r="W30" s="758">
        <f t="shared" si="14"/>
        <v>100</v>
      </c>
      <c r="X30" s="1796"/>
      <c r="Y30" s="3209"/>
      <c r="Z30" s="1797">
        <f t="shared" si="15"/>
        <v>111</v>
      </c>
      <c r="AA30" s="1794">
        <f t="shared" si="3"/>
        <v>1</v>
      </c>
      <c r="AB30" s="1794">
        <f t="shared" si="4"/>
        <v>1</v>
      </c>
      <c r="AC30" s="1794">
        <f t="shared" si="5"/>
        <v>1</v>
      </c>
    </row>
    <row r="31" spans="1:29" ht="15.75"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07"/>
      <c r="Q31" s="1793">
        <f t="shared" si="11"/>
        <v>111</v>
      </c>
      <c r="R31" s="757" t="s">
        <v>17</v>
      </c>
      <c r="S31" s="758">
        <f t="shared" si="12"/>
        <v>100</v>
      </c>
      <c r="T31" s="757" t="s">
        <v>17</v>
      </c>
      <c r="U31" s="758">
        <f t="shared" si="13"/>
        <v>100</v>
      </c>
      <c r="V31" s="757" t="s">
        <v>17</v>
      </c>
      <c r="W31" s="758">
        <f t="shared" si="14"/>
        <v>100</v>
      </c>
      <c r="X31" s="1796"/>
      <c r="Y31" s="3209"/>
      <c r="Z31" s="1797">
        <f t="shared" si="15"/>
        <v>111</v>
      </c>
      <c r="AA31" s="1794">
        <f t="shared" si="3"/>
        <v>1</v>
      </c>
      <c r="AB31" s="1794">
        <f t="shared" si="4"/>
        <v>1</v>
      </c>
      <c r="AC31" s="1794">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10" t="s">
        <v>2553</v>
      </c>
      <c r="Q32" s="1793" t="str">
        <f t="shared" si="11"/>
        <v>商业类型</v>
      </c>
      <c r="R32" s="757" t="s">
        <v>17</v>
      </c>
      <c r="S32" s="758">
        <f t="shared" si="12"/>
        <v>100</v>
      </c>
      <c r="T32" s="757" t="s">
        <v>17</v>
      </c>
      <c r="U32" s="758">
        <f t="shared" si="13"/>
        <v>100</v>
      </c>
      <c r="V32" s="757" t="s">
        <v>17</v>
      </c>
      <c r="W32" s="758">
        <f t="shared" si="14"/>
        <v>100</v>
      </c>
      <c r="X32" s="1796"/>
      <c r="Y32" s="3213" t="s">
        <v>2553</v>
      </c>
      <c r="Z32" s="1797" t="str">
        <f t="shared" si="15"/>
        <v>商业类型</v>
      </c>
      <c r="AA32" s="1794">
        <f t="shared" si="3"/>
        <v>1</v>
      </c>
      <c r="AB32" s="1794">
        <f t="shared" si="4"/>
        <v>1</v>
      </c>
      <c r="AC32" s="1794">
        <f t="shared" si="5"/>
        <v>1</v>
      </c>
    </row>
    <row r="33" spans="1:29" s="462" customFormat="1" ht="15">
      <c r="A33" s="459"/>
      <c r="B33" s="413" t="s">
        <v>2554</v>
      </c>
      <c r="C33" s="460">
        <v>125</v>
      </c>
      <c r="D33" s="127">
        <v>100</v>
      </c>
      <c r="E33" s="421">
        <v>121</v>
      </c>
      <c r="F33" s="416">
        <f>LOOKUP(E33,103:103,104:104)-LOOKUP(C33,103:103,104:104)+100</f>
        <v>100</v>
      </c>
      <c r="G33" s="420">
        <v>50</v>
      </c>
      <c r="H33" s="127">
        <f>LOOKUP(G33,103:103,104:104)-LOOKUP(C33,103:103,104:104)+100</f>
        <v>102</v>
      </c>
      <c r="I33" s="420">
        <v>192</v>
      </c>
      <c r="J33" s="127">
        <f>LOOKUP(I33,103:103,104:104)-LOOKUP(C33,103:103,104:104)+100</f>
        <v>100</v>
      </c>
      <c r="K33" s="604"/>
      <c r="L33" s="1121"/>
      <c r="M33" s="1124"/>
      <c r="N33" s="1124"/>
      <c r="O33" s="1124"/>
      <c r="P33" s="3211"/>
      <c r="Q33" s="759" t="str">
        <f t="shared" si="11"/>
        <v>项目建筑规模</v>
      </c>
      <c r="R33" s="760" t="s">
        <v>17</v>
      </c>
      <c r="S33" s="761">
        <f t="shared" si="12"/>
        <v>100</v>
      </c>
      <c r="T33" s="760" t="s">
        <v>17</v>
      </c>
      <c r="U33" s="761">
        <f t="shared" si="13"/>
        <v>102</v>
      </c>
      <c r="V33" s="760" t="s">
        <v>17</v>
      </c>
      <c r="W33" s="761">
        <f t="shared" si="14"/>
        <v>100</v>
      </c>
      <c r="X33" s="762"/>
      <c r="Y33" s="3213"/>
      <c r="Z33" s="763" t="str">
        <f t="shared" si="15"/>
        <v>项目建筑规模</v>
      </c>
      <c r="AA33" s="1794">
        <f t="shared" si="3"/>
        <v>1</v>
      </c>
      <c r="AB33" s="1794">
        <f t="shared" si="4"/>
        <v>0.98039215686274506</v>
      </c>
      <c r="AC33" s="1794">
        <f t="shared" si="5"/>
        <v>1</v>
      </c>
    </row>
    <row r="34" spans="1:29" ht="15">
      <c r="A34" s="463"/>
      <c r="B34" s="413"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11"/>
      <c r="Q34" s="1793" t="str">
        <f t="shared" si="11"/>
        <v>建筑结构</v>
      </c>
      <c r="R34" s="757" t="s">
        <v>17</v>
      </c>
      <c r="S34" s="758">
        <f t="shared" si="12"/>
        <v>100</v>
      </c>
      <c r="T34" s="757" t="s">
        <v>17</v>
      </c>
      <c r="U34" s="758">
        <f t="shared" si="13"/>
        <v>100</v>
      </c>
      <c r="V34" s="757" t="s">
        <v>17</v>
      </c>
      <c r="W34" s="758">
        <f t="shared" si="14"/>
        <v>100</v>
      </c>
      <c r="X34" s="1796"/>
      <c r="Y34" s="3213"/>
      <c r="Z34" s="1797" t="str">
        <f t="shared" si="15"/>
        <v>建筑结构</v>
      </c>
      <c r="AA34" s="1794">
        <f t="shared" si="3"/>
        <v>1</v>
      </c>
      <c r="AB34" s="1794">
        <f t="shared" si="4"/>
        <v>1</v>
      </c>
      <c r="AC34" s="1794">
        <f t="shared" si="5"/>
        <v>1</v>
      </c>
    </row>
    <row r="35" spans="1:29" ht="15">
      <c r="A35" s="463"/>
      <c r="B35" s="413"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11"/>
      <c r="Q35" s="1793" t="str">
        <f t="shared" si="11"/>
        <v>公共部分装修</v>
      </c>
      <c r="R35" s="757" t="s">
        <v>17</v>
      </c>
      <c r="S35" s="758">
        <f t="shared" si="12"/>
        <v>100</v>
      </c>
      <c r="T35" s="757" t="s">
        <v>17</v>
      </c>
      <c r="U35" s="758">
        <f t="shared" si="13"/>
        <v>100</v>
      </c>
      <c r="V35" s="757" t="s">
        <v>17</v>
      </c>
      <c r="W35" s="758">
        <f t="shared" si="14"/>
        <v>100</v>
      </c>
      <c r="X35" s="1796"/>
      <c r="Y35" s="3213"/>
      <c r="Z35" s="1797" t="str">
        <f t="shared" si="15"/>
        <v>公共部分装修</v>
      </c>
      <c r="AA35" s="1794">
        <f t="shared" si="3"/>
        <v>1</v>
      </c>
      <c r="AB35" s="1794">
        <f t="shared" si="4"/>
        <v>1</v>
      </c>
      <c r="AC35" s="1794">
        <f t="shared" si="5"/>
        <v>1</v>
      </c>
    </row>
    <row r="36" spans="1:29" ht="15">
      <c r="A36" s="463"/>
      <c r="B36" s="413" t="s">
        <v>2650</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211"/>
      <c r="Q36" s="1793" t="str">
        <f t="shared" si="11"/>
        <v>成新度</v>
      </c>
      <c r="R36" s="757" t="s">
        <v>17</v>
      </c>
      <c r="S36" s="758">
        <f t="shared" si="12"/>
        <v>102</v>
      </c>
      <c r="T36" s="757" t="s">
        <v>17</v>
      </c>
      <c r="U36" s="758">
        <f t="shared" si="13"/>
        <v>102</v>
      </c>
      <c r="V36" s="757" t="s">
        <v>17</v>
      </c>
      <c r="W36" s="758">
        <f t="shared" si="14"/>
        <v>101</v>
      </c>
      <c r="X36" s="1796"/>
      <c r="Y36" s="3213"/>
      <c r="Z36" s="1797" t="str">
        <f t="shared" si="15"/>
        <v>成新度</v>
      </c>
      <c r="AA36" s="1794">
        <f t="shared" si="3"/>
        <v>0.98039215686274506</v>
      </c>
      <c r="AB36" s="1794">
        <f t="shared" si="4"/>
        <v>0.98039215686274506</v>
      </c>
      <c r="AC36" s="1794">
        <f t="shared" si="5"/>
        <v>0.99009900990099009</v>
      </c>
    </row>
    <row r="37" spans="1:29" s="113" customFormat="1" ht="15">
      <c r="A37" s="464"/>
      <c r="B37" s="413"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11"/>
      <c r="Q37" s="1778" t="str">
        <f t="shared" si="11"/>
        <v>市政基础设施</v>
      </c>
      <c r="R37" s="753" t="s">
        <v>17</v>
      </c>
      <c r="S37" s="754">
        <f t="shared" si="12"/>
        <v>101</v>
      </c>
      <c r="T37" s="753" t="s">
        <v>17</v>
      </c>
      <c r="U37" s="754">
        <f t="shared" si="13"/>
        <v>101</v>
      </c>
      <c r="V37" s="753" t="s">
        <v>17</v>
      </c>
      <c r="W37" s="754">
        <f t="shared" si="14"/>
        <v>101</v>
      </c>
      <c r="X37" s="755"/>
      <c r="Y37" s="3213"/>
      <c r="Z37" s="55" t="str">
        <f t="shared" si="15"/>
        <v>市政基础设施</v>
      </c>
      <c r="AA37" s="756">
        <f t="shared" si="3"/>
        <v>0.99009900990099009</v>
      </c>
      <c r="AB37" s="756">
        <f t="shared" si="4"/>
        <v>0.99009900990099009</v>
      </c>
      <c r="AC37" s="756">
        <f t="shared" si="5"/>
        <v>0.99009900990099009</v>
      </c>
    </row>
    <row r="38" spans="1:29" ht="15">
      <c r="A38" s="463"/>
      <c r="B38" s="413" t="s">
        <v>2652</v>
      </c>
      <c r="C38" s="2980" t="s">
        <v>3120</v>
      </c>
      <c r="D38" s="426">
        <v>100</v>
      </c>
      <c r="E38" s="2596" t="s">
        <v>3118</v>
      </c>
      <c r="F38" s="452">
        <f>SUMIF(114:114,E38,115:115)-SUMIF(114:114,C38,115:115)+100</f>
        <v>101</v>
      </c>
      <c r="G38" s="2596" t="s">
        <v>3118</v>
      </c>
      <c r="H38" s="426">
        <f>SUMIF(114:114,G38,115:115)-SUMIF(114:114,C38,115:115)+100</f>
        <v>101</v>
      </c>
      <c r="I38" s="2596" t="s">
        <v>3118</v>
      </c>
      <c r="J38" s="426">
        <f>SUMIF(114:114,I38,115:115)-SUMIF(114:114,C38,115:115)+100</f>
        <v>101</v>
      </c>
      <c r="K38" s="603">
        <v>1</v>
      </c>
      <c r="L38" s="1123"/>
      <c r="M38" s="1114"/>
      <c r="N38" s="1114"/>
      <c r="O38" s="1114"/>
      <c r="P38" s="3211" t="s">
        <v>2553</v>
      </c>
      <c r="Q38" s="1793" t="str">
        <f t="shared" si="11"/>
        <v>业态</v>
      </c>
      <c r="R38" s="757" t="s">
        <v>17</v>
      </c>
      <c r="S38" s="758">
        <f t="shared" si="12"/>
        <v>101</v>
      </c>
      <c r="T38" s="757" t="s">
        <v>17</v>
      </c>
      <c r="U38" s="758">
        <f t="shared" si="13"/>
        <v>101</v>
      </c>
      <c r="V38" s="757" t="s">
        <v>17</v>
      </c>
      <c r="W38" s="758">
        <f t="shared" si="14"/>
        <v>101</v>
      </c>
      <c r="X38" s="1796"/>
      <c r="Y38" s="3213" t="s">
        <v>2553</v>
      </c>
      <c r="Z38" s="1797" t="str">
        <f t="shared" si="15"/>
        <v>业态</v>
      </c>
      <c r="AA38" s="1794">
        <f t="shared" si="3"/>
        <v>0.99009900990099009</v>
      </c>
      <c r="AB38" s="1794">
        <f t="shared" si="4"/>
        <v>0.99009900990099009</v>
      </c>
      <c r="AC38" s="1794">
        <f t="shared" si="5"/>
        <v>0.99009900990099009</v>
      </c>
    </row>
    <row r="39" spans="1:29" ht="15">
      <c r="A39" s="463"/>
      <c r="B39" s="413" t="s">
        <v>2653</v>
      </c>
      <c r="C39" s="2596" t="s">
        <v>3077</v>
      </c>
      <c r="D39" s="426">
        <v>100</v>
      </c>
      <c r="E39" s="2596" t="s">
        <v>3077</v>
      </c>
      <c r="F39" s="452">
        <f>SUMIF(116:116,E39,117:117)-SUMIF(116:116,C39,117:117)+100</f>
        <v>100</v>
      </c>
      <c r="G39" s="2596" t="s">
        <v>3079</v>
      </c>
      <c r="H39" s="426">
        <f>SUMIF(116:116,G39,117:117)-SUMIF(116:116,C39,117:117)+100</f>
        <v>115</v>
      </c>
      <c r="I39" s="2596" t="s">
        <v>3077</v>
      </c>
      <c r="J39" s="426">
        <f>SUMIF(116:116,I39,117:117)-SUMIF(116:116,C39,117:117)+100</f>
        <v>100</v>
      </c>
      <c r="K39" s="603">
        <v>15</v>
      </c>
      <c r="L39" s="1123"/>
      <c r="M39" s="1114"/>
      <c r="N39" s="1114"/>
      <c r="O39" s="1114"/>
      <c r="P39" s="3211"/>
      <c r="Q39" s="1793" t="str">
        <f t="shared" si="11"/>
        <v>层高</v>
      </c>
      <c r="R39" s="757" t="s">
        <v>17</v>
      </c>
      <c r="S39" s="758">
        <f t="shared" si="12"/>
        <v>100</v>
      </c>
      <c r="T39" s="757" t="s">
        <v>17</v>
      </c>
      <c r="U39" s="758">
        <f t="shared" si="13"/>
        <v>115</v>
      </c>
      <c r="V39" s="757" t="s">
        <v>17</v>
      </c>
      <c r="W39" s="758">
        <f t="shared" si="14"/>
        <v>100</v>
      </c>
      <c r="X39" s="1796"/>
      <c r="Y39" s="3213"/>
      <c r="Z39" s="1797" t="str">
        <f t="shared" si="15"/>
        <v>层高</v>
      </c>
      <c r="AA39" s="1794">
        <f t="shared" si="3"/>
        <v>1</v>
      </c>
      <c r="AB39" s="1794">
        <f t="shared" si="4"/>
        <v>0.86956521739130432</v>
      </c>
      <c r="AC39" s="1794">
        <f t="shared" si="5"/>
        <v>1</v>
      </c>
    </row>
    <row r="40" spans="1:29" ht="15">
      <c r="A40" s="463"/>
      <c r="B40" s="413"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11"/>
      <c r="Q40" s="1793" t="str">
        <f t="shared" si="11"/>
        <v>单套建筑面积</v>
      </c>
      <c r="R40" s="757" t="s">
        <v>17</v>
      </c>
      <c r="S40" s="758">
        <f t="shared" si="12"/>
        <v>100</v>
      </c>
      <c r="T40" s="757" t="s">
        <v>17</v>
      </c>
      <c r="U40" s="758">
        <f t="shared" si="13"/>
        <v>100</v>
      </c>
      <c r="V40" s="757" t="s">
        <v>17</v>
      </c>
      <c r="W40" s="758">
        <f t="shared" si="14"/>
        <v>100</v>
      </c>
      <c r="X40" s="1796"/>
      <c r="Y40" s="3213"/>
      <c r="Z40" s="1797" t="str">
        <f t="shared" si="15"/>
        <v>单套建筑面积</v>
      </c>
      <c r="AA40" s="1794">
        <f t="shared" si="3"/>
        <v>1</v>
      </c>
      <c r="AB40" s="1794">
        <f t="shared" si="4"/>
        <v>1</v>
      </c>
      <c r="AC40" s="1794">
        <f t="shared" si="5"/>
        <v>1</v>
      </c>
    </row>
    <row r="41" spans="1:29" s="462" customFormat="1" ht="15">
      <c r="A41" s="459"/>
      <c r="B41" s="1795"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11"/>
      <c r="Q41" s="759" t="str">
        <f t="shared" si="11"/>
        <v>进深比</v>
      </c>
      <c r="R41" s="760" t="s">
        <v>17</v>
      </c>
      <c r="S41" s="761">
        <f t="shared" si="12"/>
        <v>100</v>
      </c>
      <c r="T41" s="760" t="s">
        <v>17</v>
      </c>
      <c r="U41" s="761">
        <f t="shared" si="13"/>
        <v>100</v>
      </c>
      <c r="V41" s="760" t="s">
        <v>17</v>
      </c>
      <c r="W41" s="761">
        <f t="shared" si="14"/>
        <v>100</v>
      </c>
      <c r="X41" s="762"/>
      <c r="Y41" s="3213"/>
      <c r="Z41" s="763" t="str">
        <f t="shared" si="15"/>
        <v>进深比</v>
      </c>
      <c r="AA41" s="1794">
        <f t="shared" si="3"/>
        <v>1</v>
      </c>
      <c r="AB41" s="1794">
        <f t="shared" si="4"/>
        <v>1</v>
      </c>
      <c r="AC41" s="1794">
        <f t="shared" si="5"/>
        <v>1</v>
      </c>
    </row>
    <row r="42" spans="1:29" ht="15">
      <c r="A42" s="463"/>
      <c r="B42" s="413"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11"/>
      <c r="Q42" s="1793" t="str">
        <f t="shared" si="11"/>
        <v>内部装修</v>
      </c>
      <c r="R42" s="757" t="s">
        <v>17</v>
      </c>
      <c r="S42" s="758">
        <f t="shared" si="12"/>
        <v>100</v>
      </c>
      <c r="T42" s="757" t="s">
        <v>17</v>
      </c>
      <c r="U42" s="758">
        <f t="shared" si="13"/>
        <v>100</v>
      </c>
      <c r="V42" s="757" t="s">
        <v>17</v>
      </c>
      <c r="W42" s="758">
        <f t="shared" si="14"/>
        <v>100</v>
      </c>
      <c r="X42" s="1796"/>
      <c r="Y42" s="3213"/>
      <c r="Z42" s="1797" t="str">
        <f t="shared" si="15"/>
        <v>内部装修</v>
      </c>
      <c r="AA42" s="1794">
        <f t="shared" si="3"/>
        <v>1</v>
      </c>
      <c r="AB42" s="1794">
        <f t="shared" si="4"/>
        <v>1</v>
      </c>
      <c r="AC42" s="1794">
        <f t="shared" si="5"/>
        <v>1</v>
      </c>
    </row>
    <row r="43" spans="1:29" ht="15">
      <c r="A43" s="463"/>
      <c r="B43" s="413"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11"/>
      <c r="Q43" s="1793" t="str">
        <f t="shared" si="11"/>
        <v>内部装修维护情况</v>
      </c>
      <c r="R43" s="757" t="s">
        <v>17</v>
      </c>
      <c r="S43" s="758">
        <f t="shared" si="12"/>
        <v>100</v>
      </c>
      <c r="T43" s="757" t="s">
        <v>17</v>
      </c>
      <c r="U43" s="758">
        <f t="shared" si="13"/>
        <v>100</v>
      </c>
      <c r="V43" s="757" t="s">
        <v>17</v>
      </c>
      <c r="W43" s="758">
        <f t="shared" si="14"/>
        <v>100</v>
      </c>
      <c r="X43" s="1796"/>
      <c r="Y43" s="3213"/>
      <c r="Z43" s="1797" t="str">
        <f t="shared" si="15"/>
        <v>内部装修维护情况</v>
      </c>
      <c r="AA43" s="1794">
        <f t="shared" si="3"/>
        <v>1</v>
      </c>
      <c r="AB43" s="1794">
        <f t="shared" si="4"/>
        <v>1</v>
      </c>
      <c r="AC43" s="1794">
        <f t="shared" si="5"/>
        <v>1</v>
      </c>
    </row>
    <row r="44" spans="1:29" s="113" customFormat="1" ht="15.75"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11"/>
      <c r="Q44" s="1778" t="str">
        <f t="shared" si="11"/>
        <v>是否含地下室</v>
      </c>
      <c r="R44" s="753" t="s">
        <v>17</v>
      </c>
      <c r="S44" s="754">
        <f t="shared" si="12"/>
        <v>105</v>
      </c>
      <c r="T44" s="753" t="s">
        <v>17</v>
      </c>
      <c r="U44" s="754">
        <f t="shared" si="13"/>
        <v>105</v>
      </c>
      <c r="V44" s="753" t="s">
        <v>17</v>
      </c>
      <c r="W44" s="754">
        <f t="shared" si="14"/>
        <v>105</v>
      </c>
      <c r="X44" s="755"/>
      <c r="Y44" s="3213"/>
      <c r="Z44" s="55" t="str">
        <f t="shared" si="15"/>
        <v>是否含地下室</v>
      </c>
      <c r="AA44" s="756">
        <f t="shared" si="3"/>
        <v>0.95238095238095233</v>
      </c>
      <c r="AB44" s="756">
        <f t="shared" si="4"/>
        <v>0.95238095238095233</v>
      </c>
      <c r="AC44" s="756">
        <f t="shared" si="5"/>
        <v>0.95238095238095233</v>
      </c>
    </row>
    <row r="45" spans="1:29" ht="15" hidden="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11"/>
      <c r="Q45" s="1793">
        <f t="shared" si="11"/>
        <v>111</v>
      </c>
      <c r="R45" s="757" t="s">
        <v>17</v>
      </c>
      <c r="S45" s="758">
        <f t="shared" si="12"/>
        <v>100</v>
      </c>
      <c r="T45" s="757" t="s">
        <v>17</v>
      </c>
      <c r="U45" s="758">
        <f t="shared" si="13"/>
        <v>100</v>
      </c>
      <c r="V45" s="757" t="s">
        <v>17</v>
      </c>
      <c r="W45" s="758">
        <f t="shared" si="14"/>
        <v>100</v>
      </c>
      <c r="X45" s="1796"/>
      <c r="Y45" s="3213"/>
      <c r="Z45" s="1797">
        <f t="shared" si="15"/>
        <v>111</v>
      </c>
      <c r="AA45" s="1794">
        <f t="shared" si="3"/>
        <v>1</v>
      </c>
      <c r="AB45" s="1794">
        <f t="shared" si="4"/>
        <v>1</v>
      </c>
      <c r="AC45" s="1794">
        <f t="shared" si="5"/>
        <v>1</v>
      </c>
    </row>
    <row r="46" spans="1:29" ht="15.75"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12"/>
      <c r="Q46" s="1793">
        <f t="shared" si="11"/>
        <v>111</v>
      </c>
      <c r="R46" s="757" t="s">
        <v>17</v>
      </c>
      <c r="S46" s="758">
        <f t="shared" si="12"/>
        <v>100</v>
      </c>
      <c r="T46" s="757" t="s">
        <v>17</v>
      </c>
      <c r="U46" s="758">
        <f t="shared" si="13"/>
        <v>100</v>
      </c>
      <c r="V46" s="757" t="s">
        <v>17</v>
      </c>
      <c r="W46" s="758">
        <f t="shared" si="14"/>
        <v>100</v>
      </c>
      <c r="X46" s="1796"/>
      <c r="Y46" s="3214"/>
      <c r="Z46" s="1797">
        <f t="shared" si="15"/>
        <v>111</v>
      </c>
      <c r="AA46" s="1794">
        <f t="shared" si="3"/>
        <v>1</v>
      </c>
      <c r="AB46" s="1794">
        <f t="shared" si="4"/>
        <v>1</v>
      </c>
      <c r="AC46" s="1794">
        <f t="shared" si="5"/>
        <v>1</v>
      </c>
    </row>
    <row r="47" spans="1:29" ht="15">
      <c r="A47" s="470" t="s">
        <v>2565</v>
      </c>
      <c r="B47" s="471"/>
      <c r="C47" s="1390" t="s">
        <v>1</v>
      </c>
      <c r="D47" s="1391"/>
      <c r="E47" s="1392">
        <f>ROUND(35000*F50,0)</f>
        <v>34300</v>
      </c>
      <c r="F47" s="1393"/>
      <c r="G47" s="1394">
        <f>ROUND(48000*F50,0)</f>
        <v>47040</v>
      </c>
      <c r="H47" s="1395"/>
      <c r="I47" s="1392">
        <f>ROUND(43000*F50,0)</f>
        <v>42140</v>
      </c>
      <c r="J47" s="1395"/>
      <c r="K47" s="766"/>
      <c r="L47" s="1126"/>
      <c r="M47" s="1127"/>
      <c r="N47" s="1114"/>
      <c r="O47" s="1127"/>
      <c r="P47" s="3201" t="str">
        <f>A47</f>
        <v>成交单价（元/平方米）</v>
      </c>
      <c r="Q47" s="3201"/>
      <c r="R47" s="3215">
        <f>E47</f>
        <v>34300</v>
      </c>
      <c r="S47" s="3215"/>
      <c r="T47" s="3215">
        <f>G47</f>
        <v>47040</v>
      </c>
      <c r="U47" s="3215"/>
      <c r="V47" s="3215">
        <f>I47</f>
        <v>42140</v>
      </c>
      <c r="W47" s="3215"/>
      <c r="X47" s="742"/>
      <c r="Y47" s="764"/>
      <c r="Z47" s="742"/>
      <c r="AA47" s="742"/>
      <c r="AB47" s="742"/>
      <c r="AC47" s="742"/>
    </row>
    <row r="48" spans="1:29" ht="15.75" thickBot="1">
      <c r="A48" s="477" t="s">
        <v>2657</v>
      </c>
      <c r="B48" s="478"/>
      <c r="C48" s="1396">
        <f>R49</f>
        <v>33277</v>
      </c>
      <c r="D48" s="1397"/>
      <c r="E48" s="1398">
        <f>R48</f>
        <v>29900</v>
      </c>
      <c r="F48" s="1398"/>
      <c r="G48" s="1396">
        <f>T48</f>
        <v>34273</v>
      </c>
      <c r="H48" s="1397"/>
      <c r="I48" s="1398">
        <f>V48</f>
        <v>35658</v>
      </c>
      <c r="J48" s="1397"/>
      <c r="K48" s="767"/>
      <c r="L48" s="1126"/>
      <c r="M48" s="1127"/>
      <c r="N48" s="1114"/>
      <c r="O48" s="1127"/>
      <c r="P48" s="3201" t="str">
        <f>A48</f>
        <v>比较价值（元/平方米）</v>
      </c>
      <c r="Q48" s="3201"/>
      <c r="R48" s="3202">
        <f>IF(F1="售价",ROUND(PRODUCT(R47,AA7:AA46),0),ROUND(PRODUCT(R47,AA7:AA46),1))</f>
        <v>29900</v>
      </c>
      <c r="S48" s="3202"/>
      <c r="T48" s="3202">
        <f>IF(F1="售价",ROUND(PRODUCT(T47,AB7:AB46),0),ROUND(PRODUCT(T47,AB7:AB46),1))</f>
        <v>34273</v>
      </c>
      <c r="U48" s="3202"/>
      <c r="V48" s="3202">
        <f>IF(F1="售价",ROUND(PRODUCT(V47,AC7:AC46),0),ROUND(PRODUCT(V47,AC7:AC46),1))</f>
        <v>35658</v>
      </c>
      <c r="W48" s="3202"/>
      <c r="X48" s="742"/>
      <c r="Y48" s="742"/>
      <c r="Z48" s="742"/>
      <c r="AA48" s="742"/>
      <c r="AB48" s="742"/>
      <c r="AC48" s="742"/>
    </row>
    <row r="49" spans="1:29" ht="15.75" thickBot="1">
      <c r="A49" s="483" t="s">
        <v>2658</v>
      </c>
      <c r="B49" s="484"/>
      <c r="C49" s="1400">
        <f>R49</f>
        <v>33277</v>
      </c>
      <c r="D49" s="1400"/>
      <c r="E49" s="1400"/>
      <c r="F49" s="1400"/>
      <c r="G49" s="1400"/>
      <c r="H49" s="1400"/>
      <c r="I49" s="1400"/>
      <c r="J49" s="1400"/>
      <c r="K49" s="768"/>
      <c r="L49" s="1126"/>
      <c r="M49" s="1127"/>
      <c r="N49" s="1114"/>
      <c r="O49" s="1127"/>
      <c r="P49" s="3203" t="str">
        <f>A49</f>
        <v>估价对象XX用房的比较价值（楼面单价，元/平方米）</v>
      </c>
      <c r="Q49" s="3204"/>
      <c r="R49" s="3205">
        <f>IF(F1="售价",ROUND(AVERAGE(R48:V48),0),ROUND(AVERAGE(R48:V48),1))</f>
        <v>33277</v>
      </c>
      <c r="S49" s="3205"/>
      <c r="T49" s="3205"/>
      <c r="U49" s="3205"/>
      <c r="V49" s="3205"/>
      <c r="W49" s="3205"/>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2659</v>
      </c>
      <c r="D52" s="489"/>
      <c r="E52" s="490">
        <f>IF(E47&lt;E48,E48/E47-1,E47/E48-1)</f>
        <v>0.14715719063545141</v>
      </c>
      <c r="F52" s="491" t="str">
        <f>IF(OR(E52&gt;=0.3,E52&lt;=-0.3),"超过30%","")</f>
        <v/>
      </c>
      <c r="G52" s="490">
        <f>IF(G47&lt;G48,G48/G47-1,G47/G48-1)</f>
        <v>0.37250897207714528</v>
      </c>
      <c r="H52" s="491" t="str">
        <f>IF(OR(G52&gt;=0.3,G52&lt;=-0.3),"超过30%","")</f>
        <v>超过30%</v>
      </c>
      <c r="I52" s="490">
        <f>IF(I47&lt;I48,I48/I47-1,I47/I48-1)</f>
        <v>0.18178248920298401</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2660</v>
      </c>
      <c r="D53" s="492"/>
      <c r="E53" s="490">
        <f>IF(E48&lt;G48,G48/E48-1,E48/G48-1)</f>
        <v>0.14625418060200679</v>
      </c>
      <c r="F53" s="491" t="str">
        <f>IF(OR(E53&gt;=0.2,E53&lt;=-0.2),"超过20%","")</f>
        <v/>
      </c>
      <c r="G53" s="490">
        <f>IF(G48&lt;I48,I48/G48-1,G48/I48-1)</f>
        <v>4.0410819012050236E-2</v>
      </c>
      <c r="H53" s="491" t="str">
        <f>IF(OR(G53&gt;=0.2,G53&lt;=-0.2),"超过20%","")</f>
        <v/>
      </c>
      <c r="I53" s="490">
        <f>IF(I48&lt;E48,E48/I48-1,I48/E48-1)</f>
        <v>0.19257525083612048</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2661</v>
      </c>
      <c r="D54" s="492"/>
      <c r="E54" s="490">
        <f>IF(E47&lt;G47,G47/E47-1,E47/G47-1)</f>
        <v>0.37142857142857144</v>
      </c>
      <c r="F54" s="491" t="str">
        <f>IF(OR(E54&gt;=0.3,E54&lt;=-0.3),"超过30%","")</f>
        <v>超过30%</v>
      </c>
      <c r="G54" s="490">
        <f>IF(G47&lt;I47,I47/G47-1,G47/I47-1)</f>
        <v>0.11627906976744184</v>
      </c>
      <c r="H54" s="491" t="str">
        <f>IF(OR(G54&gt;=0.3,G54&lt;=-0.3),"超过30%","")</f>
        <v/>
      </c>
      <c r="I54" s="490">
        <f>IF(I47&lt;E47,E47/I47-1,I47/E47-1)</f>
        <v>0.22857142857142865</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1.75" thickBot="1">
      <c r="A57" s="746" t="s">
        <v>2662</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5">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ht="15">
      <c r="A59" s="500"/>
      <c r="B59" s="501"/>
      <c r="C59" s="1556">
        <v>100</v>
      </c>
      <c r="D59" s="503"/>
      <c r="E59" s="503"/>
      <c r="F59" s="503"/>
      <c r="G59" s="503"/>
      <c r="H59" s="503"/>
      <c r="I59" s="503"/>
      <c r="J59" s="503"/>
      <c r="K59" s="503"/>
      <c r="L59" s="503"/>
      <c r="M59" s="504"/>
      <c r="N59" s="503"/>
      <c r="O59" s="504"/>
      <c r="P59" s="2611"/>
    </row>
    <row r="60" spans="1:29" s="113" customFormat="1" ht="15.75" thickBot="1">
      <c r="A60" s="506" t="s">
        <v>2573</v>
      </c>
      <c r="B60" s="507"/>
      <c r="C60" s="508"/>
      <c r="D60" s="509"/>
      <c r="E60" s="509"/>
      <c r="F60" s="509"/>
      <c r="G60" s="509"/>
      <c r="H60" s="509"/>
      <c r="I60" s="509"/>
      <c r="J60" s="509"/>
      <c r="K60" s="509"/>
      <c r="L60" s="509"/>
      <c r="M60" s="510"/>
      <c r="N60" s="509"/>
      <c r="O60" s="510"/>
      <c r="P60" s="2611"/>
      <c r="Q60" s="495"/>
    </row>
    <row r="61" spans="1:29" s="113" customFormat="1" ht="15">
      <c r="A61" s="512" t="s">
        <v>2538</v>
      </c>
      <c r="B61" s="501"/>
      <c r="C61" s="513" t="s">
        <v>2640</v>
      </c>
      <c r="D61" s="514"/>
      <c r="E61" s="514"/>
      <c r="F61" s="514"/>
      <c r="G61" s="514"/>
      <c r="H61" s="514"/>
      <c r="I61" s="514"/>
      <c r="J61" s="514"/>
      <c r="K61" s="514"/>
      <c r="L61" s="515"/>
      <c r="M61" s="516"/>
      <c r="N61" s="1134"/>
      <c r="O61" s="1134"/>
      <c r="P61" s="2612"/>
      <c r="Q61" s="495"/>
    </row>
    <row r="62" spans="1:29" s="113" customFormat="1" ht="15.75" thickBot="1">
      <c r="A62" s="512"/>
      <c r="B62" s="501"/>
      <c r="C62" s="502">
        <v>100</v>
      </c>
      <c r="D62" s="503"/>
      <c r="E62" s="503"/>
      <c r="F62" s="503"/>
      <c r="G62" s="503"/>
      <c r="H62" s="503"/>
      <c r="I62" s="503"/>
      <c r="J62" s="503"/>
      <c r="K62" s="503"/>
      <c r="L62" s="503"/>
      <c r="M62" s="505"/>
      <c r="N62" s="1134"/>
      <c r="O62" s="1134"/>
      <c r="P62" s="2611"/>
      <c r="Q62" s="495"/>
    </row>
    <row r="63" spans="1:29">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5.75" thickBot="1">
      <c r="A64" s="525"/>
      <c r="B64" s="526"/>
      <c r="C64" s="527">
        <v>100</v>
      </c>
      <c r="D64" s="527">
        <v>105</v>
      </c>
      <c r="E64" s="527"/>
      <c r="F64" s="527"/>
      <c r="G64" s="527"/>
      <c r="H64" s="527"/>
      <c r="I64" s="527"/>
      <c r="J64" s="527"/>
      <c r="K64" s="527"/>
      <c r="L64" s="527"/>
      <c r="M64" s="528"/>
      <c r="N64" s="1136"/>
      <c r="O64" s="1136"/>
      <c r="P64" s="2613"/>
      <c r="Q64" s="495"/>
    </row>
    <row r="65" spans="1:17" ht="27.75"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5.75"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7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ht="15">
      <c r="A68" s="525"/>
      <c r="B68" s="539"/>
      <c r="C68" s="540">
        <v>0</v>
      </c>
      <c r="D68" s="540"/>
      <c r="E68" s="540"/>
      <c r="F68" s="540"/>
      <c r="G68" s="540"/>
      <c r="H68" s="540"/>
      <c r="I68" s="540"/>
      <c r="J68" s="540"/>
      <c r="K68" s="541"/>
      <c r="L68" s="542"/>
      <c r="M68" s="543"/>
      <c r="N68" s="1135"/>
      <c r="O68" s="1135"/>
      <c r="P68" s="2613"/>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5.75" thickTop="1">
      <c r="A70" s="544"/>
      <c r="B70" s="529">
        <f>B12</f>
        <v>111</v>
      </c>
      <c r="C70" s="545"/>
      <c r="D70" s="545"/>
      <c r="E70" s="545"/>
      <c r="F70" s="545"/>
      <c r="G70" s="545"/>
      <c r="H70" s="546"/>
      <c r="I70" s="546"/>
      <c r="J70" s="546"/>
      <c r="K70" s="546"/>
      <c r="L70" s="547"/>
      <c r="M70" s="548"/>
      <c r="N70" s="1137"/>
      <c r="O70" s="1137"/>
      <c r="P70" s="2614"/>
      <c r="Q70" s="550"/>
    </row>
    <row r="71" spans="1:17" s="462" customFormat="1" ht="15.75" thickBot="1">
      <c r="A71" s="544"/>
      <c r="B71" s="534"/>
      <c r="C71" s="551"/>
      <c r="D71" s="527"/>
      <c r="E71" s="527"/>
      <c r="F71" s="527"/>
      <c r="G71" s="527"/>
      <c r="H71" s="527"/>
      <c r="I71" s="527"/>
      <c r="J71" s="527"/>
      <c r="K71" s="527"/>
      <c r="L71" s="527"/>
      <c r="M71" s="528"/>
      <c r="N71" s="1136"/>
      <c r="O71" s="1136"/>
      <c r="P71" s="2614"/>
      <c r="Q71" s="550"/>
    </row>
    <row r="72" spans="1:17" s="462" customFormat="1" ht="15.75" thickTop="1">
      <c r="A72" s="544"/>
      <c r="B72" s="529">
        <f>B13</f>
        <v>111</v>
      </c>
      <c r="C72" s="545"/>
      <c r="D72" s="545"/>
      <c r="E72" s="545"/>
      <c r="F72" s="545"/>
      <c r="G72" s="545"/>
      <c r="H72" s="546"/>
      <c r="I72" s="546"/>
      <c r="J72" s="546"/>
      <c r="K72" s="546"/>
      <c r="L72" s="547"/>
      <c r="M72" s="548"/>
      <c r="N72" s="1137"/>
      <c r="O72" s="1137"/>
      <c r="P72" s="2615"/>
      <c r="Q72" s="552"/>
    </row>
    <row r="73" spans="1:17" s="462" customFormat="1" ht="15.75" thickBot="1">
      <c r="A73" s="544"/>
      <c r="B73" s="534"/>
      <c r="C73" s="551"/>
      <c r="D73" s="527"/>
      <c r="E73" s="527"/>
      <c r="F73" s="527"/>
      <c r="G73" s="551"/>
      <c r="H73" s="553"/>
      <c r="I73" s="553"/>
      <c r="J73" s="553"/>
      <c r="K73" s="553"/>
      <c r="L73" s="553"/>
      <c r="M73" s="554"/>
      <c r="N73" s="1137"/>
      <c r="O73" s="1137"/>
      <c r="P73" s="2614"/>
      <c r="Q73" s="550"/>
    </row>
    <row r="74" spans="1:17" s="462" customFormat="1" ht="15.75" thickTop="1">
      <c r="A74" s="544"/>
      <c r="B74" s="537">
        <f>B14</f>
        <v>111</v>
      </c>
      <c r="C74" s="545"/>
      <c r="D74" s="545"/>
      <c r="E74" s="545"/>
      <c r="F74" s="545"/>
      <c r="G74" s="514"/>
      <c r="H74" s="555"/>
      <c r="I74" s="555"/>
      <c r="J74" s="555"/>
      <c r="K74" s="555"/>
      <c r="L74" s="556"/>
      <c r="M74" s="557"/>
      <c r="N74" s="1137"/>
      <c r="O74" s="1137"/>
      <c r="P74" s="2616"/>
      <c r="Q74" s="550"/>
    </row>
    <row r="75" spans="1:17" s="462" customFormat="1" ht="15.75" thickBot="1">
      <c r="A75" s="559"/>
      <c r="B75" s="560"/>
      <c r="C75" s="561"/>
      <c r="D75" s="561"/>
      <c r="E75" s="561"/>
      <c r="F75" s="561"/>
      <c r="G75" s="561"/>
      <c r="H75" s="562"/>
      <c r="I75" s="562"/>
      <c r="J75" s="562"/>
      <c r="K75" s="562"/>
      <c r="L75" s="562"/>
      <c r="M75" s="563"/>
      <c r="N75" s="1137"/>
      <c r="O75" s="1137"/>
      <c r="P75" s="2614"/>
      <c r="Q75" s="550"/>
    </row>
    <row r="76" spans="1:17">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7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5.75"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7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7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5.75"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7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7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5.75"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5.75" thickBot="1">
      <c r="A89" s="570"/>
      <c r="B89" s="534"/>
      <c r="C89" s="551"/>
      <c r="D89" s="527"/>
      <c r="E89" s="527"/>
      <c r="F89" s="527"/>
      <c r="G89" s="527"/>
      <c r="H89" s="527"/>
      <c r="I89" s="527"/>
      <c r="J89" s="527"/>
      <c r="K89" s="527"/>
      <c r="L89" s="527"/>
      <c r="M89" s="527"/>
      <c r="N89" s="1136"/>
      <c r="O89" s="1136"/>
      <c r="P89" s="2613"/>
      <c r="Q89" s="495"/>
    </row>
    <row r="90" spans="1:17" s="462" customFormat="1" ht="15.7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37"/>
      <c r="O91" s="1137"/>
      <c r="P91" s="2614"/>
      <c r="Q91" s="550"/>
    </row>
    <row r="92" spans="1:17" ht="15.75" thickTop="1">
      <c r="A92" s="525"/>
      <c r="B92" s="529" t="str">
        <f>B28</f>
        <v>楼层</v>
      </c>
      <c r="C92" s="545"/>
      <c r="D92" s="545"/>
      <c r="E92" s="545"/>
      <c r="F92" s="545"/>
      <c r="G92" s="545"/>
      <c r="H92" s="545"/>
      <c r="I92" s="545"/>
      <c r="J92" s="545"/>
      <c r="K92" s="545"/>
      <c r="L92" s="571"/>
      <c r="M92" s="572"/>
      <c r="N92" s="1135"/>
      <c r="O92" s="1135"/>
      <c r="P92" s="2613"/>
      <c r="Q92" s="495"/>
    </row>
    <row r="93" spans="1:17" ht="15.75" thickBot="1">
      <c r="A93" s="525"/>
      <c r="B93" s="534"/>
      <c r="C93" s="527"/>
      <c r="D93" s="527"/>
      <c r="E93" s="527"/>
      <c r="F93" s="527"/>
      <c r="G93" s="527"/>
      <c r="H93" s="527"/>
      <c r="I93" s="527"/>
      <c r="J93" s="527"/>
      <c r="K93" s="527"/>
      <c r="L93" s="527"/>
      <c r="M93" s="528"/>
      <c r="N93" s="1136"/>
      <c r="O93" s="1136"/>
      <c r="P93" s="2613"/>
      <c r="Q93" s="495"/>
    </row>
    <row r="94" spans="1:17" ht="15.75" thickTop="1">
      <c r="A94" s="525"/>
      <c r="B94" s="529">
        <f>B29</f>
        <v>111</v>
      </c>
      <c r="C94" s="545"/>
      <c r="D94" s="545"/>
      <c r="E94" s="545"/>
      <c r="F94" s="545"/>
      <c r="G94" s="574"/>
      <c r="H94" s="574"/>
      <c r="I94" s="574"/>
      <c r="J94" s="574"/>
      <c r="K94" s="575"/>
      <c r="L94" s="576"/>
      <c r="M94" s="577"/>
      <c r="N94" s="1135"/>
      <c r="O94" s="1135"/>
      <c r="P94" s="2613"/>
      <c r="Q94" s="495"/>
    </row>
    <row r="95" spans="1:17" ht="15.75" thickBot="1">
      <c r="A95" s="525"/>
      <c r="B95" s="534"/>
      <c r="C95" s="551"/>
      <c r="D95" s="527"/>
      <c r="E95" s="527"/>
      <c r="F95" s="527"/>
      <c r="G95" s="527"/>
      <c r="H95" s="527"/>
      <c r="I95" s="527"/>
      <c r="J95" s="527"/>
      <c r="K95" s="527"/>
      <c r="L95" s="527"/>
      <c r="M95" s="528"/>
      <c r="N95" s="1136"/>
      <c r="O95" s="1136"/>
      <c r="P95" s="2613"/>
      <c r="Q95" s="495"/>
    </row>
    <row r="96" spans="1:17" ht="15.75" thickTop="1">
      <c r="A96" s="525"/>
      <c r="B96" s="529">
        <f>B30</f>
        <v>111</v>
      </c>
      <c r="C96" s="545"/>
      <c r="D96" s="545"/>
      <c r="E96" s="545"/>
      <c r="F96" s="545"/>
      <c r="G96" s="574"/>
      <c r="H96" s="574"/>
      <c r="I96" s="574"/>
      <c r="J96" s="574"/>
      <c r="K96" s="575"/>
      <c r="L96" s="576"/>
      <c r="M96" s="577"/>
      <c r="N96" s="1135"/>
      <c r="O96" s="1135"/>
      <c r="P96" s="2613"/>
      <c r="Q96" s="495"/>
    </row>
    <row r="97" spans="1:17" ht="15.75" thickBot="1">
      <c r="A97" s="525"/>
      <c r="B97" s="534"/>
      <c r="C97" s="551"/>
      <c r="D97" s="527"/>
      <c r="E97" s="527"/>
      <c r="F97" s="527"/>
      <c r="G97" s="527"/>
      <c r="H97" s="527"/>
      <c r="I97" s="527"/>
      <c r="J97" s="527"/>
      <c r="K97" s="527"/>
      <c r="L97" s="527"/>
      <c r="M97" s="528"/>
      <c r="N97" s="1136"/>
      <c r="O97" s="1136"/>
      <c r="P97" s="2613"/>
      <c r="Q97" s="495"/>
    </row>
    <row r="98" spans="1:17" ht="15.75" thickTop="1">
      <c r="A98" s="525"/>
      <c r="B98" s="537">
        <f>B31</f>
        <v>111</v>
      </c>
      <c r="C98" s="545"/>
      <c r="D98" s="545"/>
      <c r="E98" s="545"/>
      <c r="F98" s="545"/>
      <c r="G98" s="578"/>
      <c r="H98" s="578"/>
      <c r="I98" s="578"/>
      <c r="J98" s="578"/>
      <c r="K98" s="579"/>
      <c r="L98" s="580"/>
      <c r="M98" s="581"/>
      <c r="N98" s="1135"/>
      <c r="O98" s="1135"/>
      <c r="P98" s="2613"/>
      <c r="Q98" s="495"/>
    </row>
    <row r="99" spans="1:17" ht="15.75" thickBot="1">
      <c r="A99" s="2619"/>
      <c r="B99" s="560"/>
      <c r="C99" s="561"/>
      <c r="D99" s="561"/>
      <c r="E99" s="561"/>
      <c r="F99" s="561"/>
      <c r="G99" s="582"/>
      <c r="H99" s="582"/>
      <c r="I99" s="582"/>
      <c r="J99" s="582"/>
      <c r="K99" s="582"/>
      <c r="L99" s="582"/>
      <c r="M99" s="583"/>
      <c r="N99" s="1136"/>
      <c r="O99" s="1136"/>
      <c r="P99" s="2613"/>
      <c r="Q99" s="495"/>
    </row>
    <row r="100" spans="1:17">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7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5.75"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5.75"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5.75"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5.75"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3122</v>
      </c>
      <c r="D112" s="2962" t="s">
        <v>3123</v>
      </c>
      <c r="E112" s="545"/>
      <c r="F112" s="545"/>
      <c r="G112" s="545"/>
      <c r="H112" s="574"/>
      <c r="I112" s="574"/>
      <c r="J112" s="574"/>
      <c r="K112" s="575"/>
      <c r="L112" s="576"/>
      <c r="M112" s="577"/>
      <c r="N112" s="1137"/>
      <c r="O112" s="1137"/>
      <c r="P112" s="2614"/>
      <c r="Q112" s="550"/>
    </row>
    <row r="113" spans="1:17" s="462" customFormat="1" ht="15.75"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3119</v>
      </c>
      <c r="D114" s="2962" t="s">
        <v>3121</v>
      </c>
      <c r="E114" s="574"/>
      <c r="F114" s="574"/>
      <c r="G114" s="574"/>
      <c r="H114" s="574"/>
      <c r="I114" s="574"/>
      <c r="J114" s="574"/>
      <c r="K114" s="575"/>
      <c r="L114" s="576"/>
      <c r="M114" s="577"/>
      <c r="N114" s="1135"/>
      <c r="O114" s="1135"/>
      <c r="P114" s="2613"/>
      <c r="Q114" s="495"/>
    </row>
    <row r="115" spans="1:17" ht="15.75"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5.75"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5.75"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5.75"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5.75"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15"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5.75"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5.75" thickBot="1">
      <c r="A127" s="544"/>
      <c r="B127" s="534"/>
      <c r="C127" s="2966">
        <v>100</v>
      </c>
      <c r="D127" s="2965">
        <v>105</v>
      </c>
      <c r="E127" s="527"/>
      <c r="F127" s="527"/>
      <c r="G127" s="551"/>
      <c r="H127" s="553"/>
      <c r="I127" s="553"/>
      <c r="J127" s="553"/>
      <c r="K127" s="553"/>
      <c r="L127" s="553"/>
      <c r="M127" s="554"/>
      <c r="N127" s="1137"/>
      <c r="O127" s="1137"/>
      <c r="P127" s="2614"/>
      <c r="Q127" s="550"/>
    </row>
    <row r="128" spans="1:17" ht="15" thickTop="1">
      <c r="A128" s="590"/>
      <c r="B128" s="529">
        <f>B45</f>
        <v>111</v>
      </c>
      <c r="C128" s="545"/>
      <c r="D128" s="545"/>
      <c r="E128" s="545"/>
      <c r="F128" s="545"/>
      <c r="G128" s="574"/>
      <c r="H128" s="574"/>
      <c r="I128" s="574"/>
      <c r="J128" s="574"/>
      <c r="K128" s="575"/>
      <c r="L128" s="576"/>
      <c r="M128" s="577"/>
      <c r="N128" s="1135"/>
      <c r="O128" s="1135"/>
      <c r="P128" s="2613"/>
      <c r="Q128" s="495"/>
    </row>
    <row r="129" spans="1:17" ht="15.75" thickBot="1">
      <c r="A129" s="525"/>
      <c r="B129" s="534"/>
      <c r="C129" s="551"/>
      <c r="D129" s="527"/>
      <c r="E129" s="527"/>
      <c r="F129" s="527"/>
      <c r="G129" s="527"/>
      <c r="H129" s="527"/>
      <c r="I129" s="527"/>
      <c r="J129" s="527"/>
      <c r="K129" s="527"/>
      <c r="L129" s="527"/>
      <c r="M129" s="528"/>
      <c r="N129" s="1136"/>
      <c r="O129" s="1136"/>
      <c r="P129" s="2613"/>
      <c r="Q129" s="495"/>
    </row>
    <row r="130" spans="1:17" ht="15" thickTop="1">
      <c r="A130" s="590"/>
      <c r="B130" s="537">
        <f>B46</f>
        <v>111</v>
      </c>
      <c r="C130" s="545"/>
      <c r="D130" s="545"/>
      <c r="E130" s="545"/>
      <c r="F130" s="545"/>
      <c r="G130" s="578"/>
      <c r="H130" s="578"/>
      <c r="I130" s="578"/>
      <c r="J130" s="578"/>
      <c r="K130" s="514"/>
      <c r="L130" s="515"/>
      <c r="M130" s="581"/>
      <c r="N130" s="1135"/>
      <c r="O130" s="1135"/>
      <c r="P130" s="2613"/>
      <c r="Q130" s="495"/>
    </row>
    <row r="131" spans="1:17" ht="15.75"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4:D4"/>
    <mergeCell ref="E4:F4"/>
    <mergeCell ref="G4:H4"/>
    <mergeCell ref="I4:J4"/>
    <mergeCell ref="P4:Q6"/>
    <mergeCell ref="I6:J6"/>
    <mergeCell ref="C5:D5"/>
    <mergeCell ref="C6:D6"/>
    <mergeCell ref="E6:F6"/>
    <mergeCell ref="G6:H6"/>
    <mergeCell ref="E5:F5"/>
    <mergeCell ref="G5:H5"/>
    <mergeCell ref="I5:J5"/>
    <mergeCell ref="AA4:AA6"/>
    <mergeCell ref="AB4:AB6"/>
    <mergeCell ref="Y7:Z7"/>
    <mergeCell ref="R4:S6"/>
    <mergeCell ref="AC4:AC6"/>
    <mergeCell ref="T4:U6"/>
    <mergeCell ref="V4:W6"/>
    <mergeCell ref="Y4:Z6"/>
    <mergeCell ref="Y9:Y14"/>
    <mergeCell ref="P8:Q8"/>
    <mergeCell ref="Y8:Z8"/>
    <mergeCell ref="P7:Q7"/>
    <mergeCell ref="P9:P14"/>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33">
    <tabColor rgb="FF92D050"/>
  </sheetPr>
  <dimension ref="A1:AK83"/>
  <sheetViews>
    <sheetView zoomScale="85" zoomScaleNormal="85" zoomScaleSheetLayoutView="90" workbookViewId="0">
      <selection activeCell="Q49" sqref="Q49"/>
    </sheetView>
  </sheetViews>
  <sheetFormatPr defaultColWidth="9"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0.125" style="1917" customWidth="1"/>
    <col min="12" max="12" width="16.375" style="293" customWidth="1"/>
    <col min="13" max="13" width="13" style="293"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93"/>
  </cols>
  <sheetData>
    <row r="1" spans="1:37" s="328" customFormat="1" ht="21">
      <c r="A1" s="1816" t="s">
        <v>1583</v>
      </c>
      <c r="B1" s="765"/>
      <c r="C1" s="1820" t="s">
        <v>3047</v>
      </c>
      <c r="D1" s="1803" t="s">
        <v>3127</v>
      </c>
      <c r="E1" s="1804" t="s">
        <v>1381</v>
      </c>
      <c r="F1" s="1266">
        <f ca="1">J53</f>
        <v>35</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450</v>
      </c>
      <c r="C2" s="1828" t="s">
        <v>1585</v>
      </c>
      <c r="D2" s="1920">
        <f ca="1">C40+J29+L46</f>
        <v>4500511</v>
      </c>
      <c r="E2" s="1829" t="s">
        <v>1586</v>
      </c>
      <c r="F2" s="1830"/>
      <c r="G2" s="1831"/>
      <c r="H2" s="1823"/>
      <c r="I2" s="1823"/>
      <c r="J2" s="1823"/>
      <c r="K2" s="1824"/>
      <c r="L2" s="1823"/>
      <c r="M2" s="1823"/>
    </row>
    <row r="3" spans="1:37" ht="18" customHeight="1" thickBot="1">
      <c r="A3" s="1832" t="s">
        <v>1587</v>
      </c>
      <c r="B3" s="1833">
        <f ca="1">IF(ISERROR(D2/F43),0,ROUND(D2/F43,0))</f>
        <v>35761</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235943</v>
      </c>
      <c r="D5" s="1805" t="s">
        <v>1595</v>
      </c>
      <c r="E5" s="1276"/>
      <c r="F5" s="1277"/>
      <c r="G5" s="1834"/>
      <c r="H5" s="335">
        <v>1</v>
      </c>
      <c r="I5" s="336" t="s">
        <v>1594</v>
      </c>
      <c r="J5" s="1275">
        <f ca="1">J6+J10+J12</f>
        <v>0</v>
      </c>
      <c r="K5" s="1805" t="s">
        <v>1595</v>
      </c>
      <c r="L5" s="1276"/>
      <c r="M5" s="1277"/>
    </row>
    <row r="6" spans="1:37" ht="18" customHeight="1">
      <c r="A6" s="1274" t="s">
        <v>1031</v>
      </c>
      <c r="B6" s="3198" t="s">
        <v>1397</v>
      </c>
      <c r="C6" s="1279">
        <f ca="1">ROUND(F6*F8*F7*(1-F9),0)</f>
        <v>235648</v>
      </c>
      <c r="D6" s="155" t="s">
        <v>3013</v>
      </c>
      <c r="E6" s="338" t="s">
        <v>1399</v>
      </c>
      <c r="F6" s="339">
        <f ca="1">INDIRECT("'数据-取费表'!u"&amp;$G$1)</f>
        <v>5.7</v>
      </c>
      <c r="G6" s="1834"/>
      <c r="H6" s="1274" t="s">
        <v>1031</v>
      </c>
      <c r="I6" s="3198" t="s">
        <v>1397</v>
      </c>
      <c r="J6" s="337">
        <f ca="1">ROUND(M6*M8*M7*(1-M9),0)</f>
        <v>0</v>
      </c>
      <c r="K6" s="1817" t="s">
        <v>3014</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125.85</v>
      </c>
      <c r="G7" s="1834"/>
      <c r="H7" s="340"/>
      <c r="I7" s="3199"/>
      <c r="J7" s="342"/>
      <c r="K7" s="343"/>
      <c r="L7" s="338" t="s">
        <v>1400</v>
      </c>
      <c r="M7" s="339">
        <f ca="1">F7</f>
        <v>125.85</v>
      </c>
    </row>
    <row r="8" spans="1:37" ht="18" customHeight="1">
      <c r="A8" s="340"/>
      <c r="B8" s="3199"/>
      <c r="C8" s="342"/>
      <c r="D8" s="343"/>
      <c r="E8" s="338" t="s">
        <v>1401</v>
      </c>
      <c r="F8" s="339">
        <f ca="1">INDIRECT("'数据-取费表'!ai"&amp;$G$1)</f>
        <v>365</v>
      </c>
      <c r="G8" s="1834"/>
      <c r="H8" s="340"/>
      <c r="I8" s="3199"/>
      <c r="J8" s="342"/>
      <c r="K8" s="343"/>
      <c r="L8" s="338" t="s">
        <v>1401</v>
      </c>
      <c r="M8" s="339">
        <f ca="1">INDIRECT("'数据-取费表'!ai"&amp;$G$1)</f>
        <v>365</v>
      </c>
    </row>
    <row r="9" spans="1:37" ht="18" customHeight="1">
      <c r="A9" s="340"/>
      <c r="B9" s="3200"/>
      <c r="C9" s="342"/>
      <c r="D9" s="343"/>
      <c r="E9" s="338" t="s">
        <v>1402</v>
      </c>
      <c r="F9" s="348">
        <f ca="1">INDIRECT("'数据-取费表'!w"&amp;$G$1)</f>
        <v>0.1</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295</v>
      </c>
      <c r="D10" s="1807" t="s">
        <v>3024</v>
      </c>
      <c r="E10" s="349" t="s">
        <v>1404</v>
      </c>
      <c r="F10" s="1349" t="s">
        <v>3055</v>
      </c>
      <c r="G10" s="1834"/>
      <c r="H10" s="1274" t="s">
        <v>1035</v>
      </c>
      <c r="I10" s="1806" t="s">
        <v>1403</v>
      </c>
      <c r="J10" s="337">
        <f ca="1">ROUND(IF(M10="押一",J6/12*M11,IF(M10="押二",J6/12*2*M11,IF(M10="押三",J6/12*3*M11,J11*M11))),0)</f>
        <v>0</v>
      </c>
      <c r="K10" s="1818" t="s">
        <v>3026</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436840</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352380</v>
      </c>
      <c r="D14" s="1783" t="s">
        <v>1412</v>
      </c>
      <c r="E14" s="1777"/>
      <c r="F14" s="355"/>
      <c r="G14" s="1834"/>
      <c r="H14" s="1184" t="s">
        <v>1031</v>
      </c>
      <c r="I14" s="338" t="s">
        <v>1413</v>
      </c>
      <c r="J14" s="24">
        <f ca="1">C29</f>
        <v>560051</v>
      </c>
      <c r="K14" s="15"/>
      <c r="L14" s="962"/>
      <c r="M14" s="963"/>
    </row>
    <row r="15" spans="1:37" s="1841" customFormat="1" ht="18" customHeight="1" thickBot="1">
      <c r="A15" s="1184" t="s">
        <v>1032</v>
      </c>
      <c r="B15" s="338" t="s">
        <v>1414</v>
      </c>
      <c r="C15" s="24">
        <f ca="1">ROUND(C14*F15,0)</f>
        <v>10571</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8401</v>
      </c>
      <c r="K16" s="1320" t="s">
        <v>1419</v>
      </c>
      <c r="L16" s="1321"/>
      <c r="M16" s="1277"/>
    </row>
    <row r="17" spans="1:37" s="1841" customFormat="1" ht="18" customHeight="1">
      <c r="A17" s="1184" t="s">
        <v>1384</v>
      </c>
      <c r="B17" s="338" t="s">
        <v>1420</v>
      </c>
      <c r="C17" s="24">
        <f ca="1">ROUND(F17*(F43+INDIRECT("'数据-取费表'!S"&amp;$G$1)),0)</f>
        <v>25170</v>
      </c>
      <c r="D17" s="338" t="s">
        <v>1421</v>
      </c>
      <c r="E17" s="338" t="s">
        <v>1422</v>
      </c>
      <c r="F17" s="26">
        <f>'数据-取费表'!B35</f>
        <v>200</v>
      </c>
      <c r="G17" s="1837"/>
      <c r="H17" s="1184" t="s">
        <v>1031</v>
      </c>
      <c r="I17" s="338" t="s">
        <v>1423</v>
      </c>
      <c r="J17" s="24">
        <f ca="1">ROUND(IF(项目基本情况!B11="自然人",J6*M17/(1+'数据-取费表'!C42),J18+J19+J20),0)</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5286</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393407</v>
      </c>
      <c r="D19" s="131" t="s">
        <v>1430</v>
      </c>
      <c r="E19" s="1801"/>
      <c r="F19" s="26"/>
      <c r="G19" s="1834"/>
      <c r="H19" s="1184" t="s">
        <v>1032</v>
      </c>
      <c r="I19" s="338" t="s">
        <v>1431</v>
      </c>
      <c r="J19" s="24">
        <f ca="1">IF(K19="按租金收入计税",ROUND(J6*M19/(1+'数据-取费表'!C42),0),ROUND(C29*M19*0.7,0))</f>
        <v>4704</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7868</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8401</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14213</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-8401</v>
      </c>
      <c r="K25" s="1328" t="s">
        <v>1458</v>
      </c>
      <c r="L25" s="1329"/>
      <c r="M25" s="1330"/>
    </row>
    <row r="26" spans="1:37" ht="18" customHeight="1">
      <c r="A26" s="1184" t="s">
        <v>1030</v>
      </c>
      <c r="B26" s="338" t="s">
        <v>1459</v>
      </c>
      <c r="C26" s="24">
        <f ca="1">ROUND((C19+C20)*F26,0)</f>
        <v>100319</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560051</v>
      </c>
      <c r="D29" s="1325"/>
      <c r="E29" s="1323"/>
      <c r="F29" s="1326"/>
      <c r="G29" s="1837"/>
      <c r="H29" s="371" t="s">
        <v>1029</v>
      </c>
      <c r="I29" s="372" t="s">
        <v>1473</v>
      </c>
      <c r="J29" s="373">
        <f ca="1">ROUND(J26/(1+F40)^F41,0)</f>
        <v>0</v>
      </c>
      <c r="K29" s="374" t="s">
        <v>1474</v>
      </c>
      <c r="L29" s="375"/>
      <c r="M29" s="376">
        <f ca="1">INDIRECT("'数据-取费表'!k"&amp;$G$1)</f>
        <v>125.85</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38346</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26931</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t="str">
        <f>IF(项目基本情况!B11="自然人","——",ROUND(C6*F32/(1+'数据-取费表'!C42),0))</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IF(项目基本情况!B11="自然人","——",IF(D33="按租金收入计税",ROUND(C6*F33/(1+'数据-取费表'!C42),0),IF(D33="按房产原值计税",ROUND(C29*F33*0.7,0),INDIRECT("'数据-取费表'!Aj"&amp;$G$1))))</f>
        <v>——</v>
      </c>
      <c r="D33" s="1811" t="s">
        <v>3056</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t="str">
        <f>IF(项目基本情况!B11="自然人","——",ROUND(F34*F35,))</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8401</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2359.4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197597</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4489537</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35674</v>
      </c>
      <c r="D43" s="374" t="s">
        <v>1482</v>
      </c>
      <c r="E43" s="375" t="s">
        <v>1483</v>
      </c>
      <c r="F43" s="376">
        <f ca="1">INDIRECT("'数据-取费表'!k"&amp;$G$1)</f>
        <v>125.85</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-4695295</v>
      </c>
      <c r="D45" s="1922" t="s">
        <v>1598</v>
      </c>
      <c r="E45" s="1849"/>
      <c r="F45" s="1849"/>
      <c r="O45" s="1852" t="s">
        <v>1513</v>
      </c>
      <c r="P45" s="1822"/>
      <c r="Q45" s="1822"/>
      <c r="R45" s="1822"/>
    </row>
    <row r="46" spans="1:18" s="1825" customFormat="1" ht="13.5" thickBot="1">
      <c r="A46" s="1853" t="s">
        <v>1514</v>
      </c>
      <c r="C46" s="1854">
        <f ca="1">ROUND(C45/10000,0)</f>
        <v>-470</v>
      </c>
      <c r="D46" s="1855" t="str">
        <f>C2</f>
        <v>万元</v>
      </c>
      <c r="I46" s="1856" t="s">
        <v>1515</v>
      </c>
      <c r="J46" s="1857"/>
      <c r="K46" s="1858"/>
      <c r="L46" s="1859">
        <f ca="1">IF(M47="住宅",0,IF(L48&gt;J51,L60,J60))</f>
        <v>10974</v>
      </c>
      <c r="O46" s="1860" t="s">
        <v>1516</v>
      </c>
      <c r="P46" s="1861" t="s">
        <v>1517</v>
      </c>
      <c r="Q46" s="1862" t="s">
        <v>1518</v>
      </c>
      <c r="R46" s="1862" t="s">
        <v>1519</v>
      </c>
    </row>
    <row r="47" spans="1:18" s="1825" customFormat="1" ht="13.5" thickBot="1">
      <c r="A47" s="1148" t="s">
        <v>1390</v>
      </c>
      <c r="B47" s="1180" t="s">
        <v>1391</v>
      </c>
      <c r="C47" s="1180" t="s">
        <v>1392</v>
      </c>
      <c r="D47" s="1180" t="s">
        <v>1393</v>
      </c>
      <c r="E47" s="1262" t="s">
        <v>1394</v>
      </c>
      <c r="F47" s="1263"/>
      <c r="G47" s="775"/>
      <c r="I47" s="1863" t="s">
        <v>1520</v>
      </c>
      <c r="J47" s="1864" t="s">
        <v>3057</v>
      </c>
      <c r="K47" s="1865" t="s">
        <v>1521</v>
      </c>
      <c r="L47" s="1866">
        <f ca="1">INDIRECT("'数据-取费表'!d"&amp;$G$1)</f>
        <v>50</v>
      </c>
      <c r="M47" s="1821" t="str">
        <f>IF(ISNUMBER(FIND("住宅",C1)),"住宅","非住宅")</f>
        <v>非住宅</v>
      </c>
      <c r="O47" s="1867" t="s">
        <v>1036</v>
      </c>
      <c r="P47" s="1868" t="s">
        <v>1522</v>
      </c>
      <c r="Q47" s="1869">
        <f ca="1">C40+J29</f>
        <v>4489537</v>
      </c>
      <c r="R47" s="1869" t="s">
        <v>1523</v>
      </c>
    </row>
    <row r="48" spans="1:18" s="1825" customFormat="1" ht="28.5" thickBot="1">
      <c r="A48" s="1343" t="s">
        <v>1131</v>
      </c>
      <c r="B48" s="336" t="s">
        <v>1395</v>
      </c>
      <c r="C48" s="1800">
        <f ca="1">C49+C53+C55</f>
        <v>0</v>
      </c>
      <c r="D48" s="1345"/>
      <c r="E48" s="1346"/>
      <c r="F48" s="1164"/>
      <c r="G48" s="775"/>
      <c r="H48" s="776"/>
      <c r="I48" s="1870" t="s">
        <v>1524</v>
      </c>
      <c r="J48" s="1871" t="s">
        <v>3058</v>
      </c>
      <c r="K48" s="1872" t="s">
        <v>1525</v>
      </c>
      <c r="L48" s="1873">
        <f ca="1">INDIRECT("'数据-取费表'!f"&amp;$G$1)</f>
        <v>35</v>
      </c>
      <c r="O48" s="1867" t="s">
        <v>1037</v>
      </c>
      <c r="P48" s="1868" t="s">
        <v>1526</v>
      </c>
      <c r="Q48" s="1869">
        <f ca="1">J60</f>
        <v>10974</v>
      </c>
      <c r="R48" s="1869" t="s">
        <v>1527</v>
      </c>
    </row>
    <row r="49" spans="1:18" s="1825" customFormat="1" ht="13.5"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560051</v>
      </c>
      <c r="R49" s="1869" t="s">
        <v>1523</v>
      </c>
    </row>
    <row r="50" spans="1:18" s="1825" customFormat="1" ht="13.5" thickBot="1">
      <c r="A50" s="1178"/>
      <c r="B50" s="1181"/>
      <c r="C50" s="1182"/>
      <c r="D50" s="1155"/>
      <c r="E50" s="1260" t="s">
        <v>1400</v>
      </c>
      <c r="F50" s="1261">
        <f ca="1">F7</f>
        <v>125.85</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5"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2627495</v>
      </c>
      <c r="M51" s="1885"/>
      <c r="O51" s="1877" t="s">
        <v>1040</v>
      </c>
      <c r="P51" s="1868" t="s">
        <v>1536</v>
      </c>
      <c r="Q51" s="1880">
        <f>J52</f>
        <v>0.09</v>
      </c>
      <c r="R51" s="1869"/>
    </row>
    <row r="52" spans="1:18" s="1825" customFormat="1" ht="13.5" thickBot="1">
      <c r="A52" s="1179"/>
      <c r="B52" s="1181"/>
      <c r="C52" s="1182"/>
      <c r="D52" s="1155"/>
      <c r="E52" s="1183" t="s">
        <v>1402</v>
      </c>
      <c r="F52" s="1258"/>
      <c r="I52" s="1886" t="s">
        <v>1537</v>
      </c>
      <c r="J52" s="1887">
        <v>0.09</v>
      </c>
      <c r="K52" s="1886" t="s">
        <v>1538</v>
      </c>
      <c r="L52" s="1887"/>
      <c r="O52" s="1877" t="s">
        <v>1041</v>
      </c>
      <c r="P52" s="1868" t="s">
        <v>1539</v>
      </c>
      <c r="Q52" s="1869">
        <f ca="1">J53</f>
        <v>35</v>
      </c>
      <c r="R52" s="1869" t="s">
        <v>1540</v>
      </c>
    </row>
    <row r="53" spans="1:18" s="1825" customFormat="1" ht="30.75" customHeight="1" thickBot="1">
      <c r="A53" s="1344" t="s">
        <v>1133</v>
      </c>
      <c r="B53" s="360" t="s">
        <v>1403</v>
      </c>
      <c r="C53" s="352">
        <f ca="1">ROUND(IF(F53="押一",C49/12*F11,IF(F53="押二",C49/12*2*F11,IF(F53="押三",C49/12*3*F11,C54*F11))),0)</f>
        <v>0</v>
      </c>
      <c r="D53" s="1807" t="s">
        <v>3027</v>
      </c>
      <c r="E53" s="349" t="s">
        <v>1404</v>
      </c>
      <c r="F53" s="1349"/>
      <c r="I53" s="1888" t="s">
        <v>1541</v>
      </c>
      <c r="J53" s="2933">
        <f ca="1">IF(M47="住宅",IF(D1="——",MAX(J51,L48),MAX(J51,L48-'数据-取费表'!B24)),IF(D1="——",MIN(J51,L48),MIN(J51,L48-'数据-取费表'!B24)))</f>
        <v>35</v>
      </c>
      <c r="K53" s="3196" t="s">
        <v>1542</v>
      </c>
      <c r="L53" s="3197"/>
      <c r="O53" s="1867" t="s">
        <v>1042</v>
      </c>
      <c r="P53" s="1868" t="s">
        <v>1543</v>
      </c>
      <c r="Q53" s="1869">
        <f ca="1">Q47+Q48</f>
        <v>4500511</v>
      </c>
      <c r="R53" s="1869" t="s">
        <v>1043</v>
      </c>
    </row>
    <row r="54" spans="1:18" s="1825" customFormat="1" ht="13.5"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5" thickBot="1">
      <c r="A55" s="1316" t="s">
        <v>1071</v>
      </c>
      <c r="B55" s="1810" t="s">
        <v>1407</v>
      </c>
      <c r="C55" s="1317"/>
      <c r="D55" s="1807"/>
      <c r="E55" s="1815"/>
      <c r="F55" s="1889"/>
      <c r="I55" s="1892" t="s">
        <v>1545</v>
      </c>
      <c r="J55" s="1893">
        <f ca="1">ROUND(IF(J47="钢混",J57/J50,1-(1-2%)*(J50-J57)/J50),3)</f>
        <v>0.2</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436840</v>
      </c>
      <c r="D56" s="1896"/>
      <c r="E56" s="1897"/>
      <c r="F56" s="1889"/>
      <c r="I56" s="1898" t="s">
        <v>1548</v>
      </c>
      <c r="J56" s="1899"/>
      <c r="K56" s="1870" t="s">
        <v>1549</v>
      </c>
      <c r="L56" s="1873" t="str">
        <f ca="1">IF(L48&lt;J51,"——",L48-J51)</f>
        <v>——</v>
      </c>
      <c r="O56" s="1867" t="s">
        <v>1036</v>
      </c>
      <c r="P56" s="1868" t="s">
        <v>1522</v>
      </c>
      <c r="Q56" s="1869">
        <f ca="1">C40+J29</f>
        <v>4489537</v>
      </c>
      <c r="R56" s="1869" t="s">
        <v>1523</v>
      </c>
    </row>
    <row r="57" spans="1:18" s="1825" customFormat="1" ht="24.75" thickBot="1">
      <c r="A57" s="1900"/>
      <c r="B57" s="1152" t="s">
        <v>1472</v>
      </c>
      <c r="C57" s="273">
        <f ca="1">C29</f>
        <v>560051</v>
      </c>
      <c r="D57" s="1901"/>
      <c r="E57" s="1902"/>
      <c r="F57" s="1903"/>
      <c r="I57" s="1904" t="s">
        <v>1550</v>
      </c>
      <c r="J57" s="1905">
        <f ca="1">IF(OR(M47="住宅",J51&lt;L48,J56="是"),"——",J51-L48)</f>
        <v>12</v>
      </c>
      <c r="K57" s="1870" t="s">
        <v>1599</v>
      </c>
      <c r="L57" s="1873" t="str">
        <f ca="1">IF(L48&lt;J51,"——",IF(L55="比较法",L49,IF(L55="基准地价",L50,L51)))</f>
        <v>——</v>
      </c>
      <c r="O57" s="1867" t="s">
        <v>1037</v>
      </c>
      <c r="P57" s="1868" t="s">
        <v>1600</v>
      </c>
      <c r="Q57" s="1869">
        <f ca="1">L60</f>
        <v>0</v>
      </c>
      <c r="R57" s="1869" t="s">
        <v>1601</v>
      </c>
    </row>
    <row r="58" spans="1:18" s="1825" customFormat="1" ht="24.75" thickBot="1">
      <c r="A58" s="351" t="s">
        <v>1026</v>
      </c>
      <c r="B58" s="1160" t="s">
        <v>1418</v>
      </c>
      <c r="C58" s="352">
        <f ca="1">ROUND(C59+C64+C65+C66,0)</f>
        <v>9056</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75" thickBot="1">
      <c r="A59" s="1184" t="s">
        <v>1031</v>
      </c>
      <c r="B59" s="1152" t="s">
        <v>1423</v>
      </c>
      <c r="C59" s="24">
        <f ca="1">ROUND(IF(项目基本情况!B11="自然人",C48*F59,C60+C61+C62),0)</f>
        <v>0</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224020</v>
      </c>
      <c r="K59" s="18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5" thickBot="1">
      <c r="A60" s="1184" t="s">
        <v>1030</v>
      </c>
      <c r="B60" s="1152" t="s">
        <v>1427</v>
      </c>
      <c r="C60" s="24" t="str">
        <f>IF(项目基本情况!B11="自然人","——",ROUND(C48*F60/(1+'数据-取费表'!C42),0))</f>
        <v>——</v>
      </c>
      <c r="D60" s="1166" t="s">
        <v>1428</v>
      </c>
      <c r="E60" s="1152" t="s">
        <v>1416</v>
      </c>
      <c r="F60" s="368">
        <f t="shared" ref="F60:F66" si="0">F32</f>
        <v>5.6000000000000001E-2</v>
      </c>
      <c r="I60" s="1907" t="s">
        <v>1559</v>
      </c>
      <c r="J60" s="1908">
        <f ca="1">IF(OR(M47="住宅",J51&lt;L48,J56="是"),"0",ROUND(J59/(1+J52)^J53,0))</f>
        <v>10974</v>
      </c>
      <c r="K60" s="1909" t="s">
        <v>1560</v>
      </c>
      <c r="L60" s="1908">
        <f ca="1">IF(OR(M47="住宅",L48&lt;J51),0,ROUND(L57*(L58/L59-1),0))</f>
        <v>0</v>
      </c>
      <c r="O60" s="1877" t="s">
        <v>1040</v>
      </c>
      <c r="P60" s="1868" t="s">
        <v>1561</v>
      </c>
      <c r="Q60" s="1869" t="e">
        <f ca="1">L58</f>
        <v>#DIV/0!</v>
      </c>
      <c r="R60" s="1869" t="s">
        <v>1562</v>
      </c>
    </row>
    <row r="61" spans="1:18" s="1825" customFormat="1" ht="13.5" thickBot="1">
      <c r="A61" s="1184" t="s">
        <v>1486</v>
      </c>
      <c r="B61" s="1152" t="s">
        <v>1487</v>
      </c>
      <c r="C61" s="24" t="str">
        <f ca="1">IF(项目基本情况!B11="自然人","——",IF(D61="按租金收入计税",ROUND(C48*F61,0),IF(D61="按房产原值计税",ROUND(C57*F61*0.7,0),INDIRECT("'数据-取费表'!Aj"&amp;$G$1))))</f>
        <v>——</v>
      </c>
      <c r="D61" s="1811" t="s">
        <v>1432</v>
      </c>
      <c r="E61" s="1152" t="s">
        <v>1488</v>
      </c>
      <c r="F61" s="358">
        <f t="shared" si="0"/>
        <v>0.12</v>
      </c>
      <c r="I61" s="1910"/>
      <c r="J61" s="1910"/>
      <c r="K61" s="1910"/>
      <c r="L61" s="1910"/>
      <c r="O61" s="1877" t="s">
        <v>1041</v>
      </c>
      <c r="P61" s="1868" t="str">
        <f>K59</f>
        <v>续建工期及建筑物耐用年限下的土地年期修正系数Kn</v>
      </c>
      <c r="Q61" s="1869" t="e">
        <f ca="1">L59</f>
        <v>#DIV/0!</v>
      </c>
      <c r="R61" s="1869" t="s">
        <v>1563</v>
      </c>
    </row>
    <row r="62" spans="1:18" s="1825" customFormat="1" ht="13.5" thickBot="1">
      <c r="A62" s="1184" t="s">
        <v>1489</v>
      </c>
      <c r="B62" s="1151" t="s">
        <v>1490</v>
      </c>
      <c r="C62" s="25" t="str">
        <f>IF(项目基本情况!B11="自然人","——",ROUND(F62*F63,0))</f>
        <v>——</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4489537</v>
      </c>
      <c r="R62" s="1869" t="s">
        <v>1043</v>
      </c>
    </row>
    <row r="63" spans="1:18" s="1825" customFormat="1" ht="13.5"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5" thickBot="1">
      <c r="A64" s="1184" t="s">
        <v>1494</v>
      </c>
      <c r="B64" s="1152" t="s">
        <v>1495</v>
      </c>
      <c r="C64" s="24">
        <f ca="1">ROUND(C57*F64,0)</f>
        <v>8401</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5"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4489537</v>
      </c>
      <c r="R65" s="1869" t="s">
        <v>1523</v>
      </c>
    </row>
    <row r="66" spans="1:18" s="1825" customFormat="1" ht="16.5"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16.5" thickBot="1">
      <c r="A67" s="1159" t="s">
        <v>1027</v>
      </c>
      <c r="B67" s="1169" t="s">
        <v>1457</v>
      </c>
      <c r="C67" s="352">
        <f ca="1">C48-C58</f>
        <v>-9056</v>
      </c>
      <c r="D67" s="1165" t="s">
        <v>1458</v>
      </c>
      <c r="E67" s="1170"/>
      <c r="F67" s="1171"/>
      <c r="O67" s="1877" t="s">
        <v>1038</v>
      </c>
      <c r="P67" s="1868" t="s">
        <v>1556</v>
      </c>
      <c r="Q67" s="1915">
        <f ca="1">L51</f>
        <v>2627495</v>
      </c>
      <c r="R67" s="1869" t="s">
        <v>1576</v>
      </c>
    </row>
    <row r="68" spans="1:18" s="1825" customFormat="1" ht="16.5" thickBot="1">
      <c r="A68" s="1149" t="s">
        <v>1028</v>
      </c>
      <c r="B68" s="1150" t="s">
        <v>1479</v>
      </c>
      <c r="C68" s="337">
        <f ca="1">ROUND(C67*(1-((1+F70)/(1+F68))^F69)/(F68-F70),0)</f>
        <v>-205758</v>
      </c>
      <c r="D68" s="1167" t="s">
        <v>1463</v>
      </c>
      <c r="E68" s="1152" t="s">
        <v>1464</v>
      </c>
      <c r="F68" s="348">
        <f ca="1">F40</f>
        <v>5.5E-2</v>
      </c>
      <c r="O68" s="1877" t="s">
        <v>1039</v>
      </c>
      <c r="P68" s="1916" t="s">
        <v>1577</v>
      </c>
      <c r="Q68" s="1869">
        <f ca="1">ROUND(Q69-Q70*Q71,0)</f>
        <v>160466</v>
      </c>
      <c r="R68" s="1869" t="s">
        <v>1047</v>
      </c>
    </row>
    <row r="69" spans="1:18" s="1825" customFormat="1" ht="13.5" thickBot="1">
      <c r="A69" s="1153"/>
      <c r="B69" s="1154"/>
      <c r="C69" s="342"/>
      <c r="D69" s="1172" t="s">
        <v>1467</v>
      </c>
      <c r="E69" s="1152" t="s">
        <v>1468</v>
      </c>
      <c r="F69" s="370">
        <f ca="1">F41</f>
        <v>35</v>
      </c>
      <c r="O69" s="1877" t="s">
        <v>1044</v>
      </c>
      <c r="P69" s="1916" t="s">
        <v>1578</v>
      </c>
      <c r="Q69" s="1869">
        <f ca="1">C39</f>
        <v>197597</v>
      </c>
      <c r="R69" s="1869" t="s">
        <v>1523</v>
      </c>
    </row>
    <row r="70" spans="1:18" s="1825" customFormat="1" ht="13.5" thickBot="1">
      <c r="A70" s="1156"/>
      <c r="B70" s="1157"/>
      <c r="C70" s="346"/>
      <c r="D70" s="1168"/>
      <c r="E70" s="1152" t="s">
        <v>1471</v>
      </c>
      <c r="F70" s="1258">
        <f ca="1">F42</f>
        <v>0.03</v>
      </c>
      <c r="O70" s="1877" t="s">
        <v>1045</v>
      </c>
      <c r="P70" s="1916" t="s">
        <v>1579</v>
      </c>
      <c r="Q70" s="1869">
        <f ca="1">C13</f>
        <v>436840</v>
      </c>
      <c r="R70" s="1869" t="s">
        <v>1523</v>
      </c>
    </row>
    <row r="71" spans="1:18" s="1825" customFormat="1" ht="13.5" thickBot="1">
      <c r="A71" s="1173" t="s">
        <v>1029</v>
      </c>
      <c r="B71" s="1174" t="s">
        <v>1481</v>
      </c>
      <c r="C71" s="373">
        <f ca="1">ROUND(C68/F71,0)</f>
        <v>-1635</v>
      </c>
      <c r="D71" s="1175" t="s">
        <v>1482</v>
      </c>
      <c r="E71" s="1176" t="s">
        <v>1483</v>
      </c>
      <c r="F71" s="376">
        <f ca="1">F43</f>
        <v>125.85</v>
      </c>
      <c r="O71" s="1877" t="s">
        <v>1046</v>
      </c>
      <c r="P71" s="1916" t="s">
        <v>1580</v>
      </c>
      <c r="Q71" s="1880">
        <f ca="1">C76</f>
        <v>8.5000000000000006E-2</v>
      </c>
      <c r="R71" s="1869"/>
    </row>
    <row r="72" spans="1:18" s="1825" customFormat="1" ht="13.5" thickBot="1">
      <c r="B72" s="779"/>
      <c r="C72" s="779"/>
      <c r="O72" s="1877" t="s">
        <v>1040</v>
      </c>
      <c r="P72" s="1868" t="s">
        <v>1558</v>
      </c>
      <c r="Q72" s="1880">
        <f>L52</f>
        <v>0</v>
      </c>
      <c r="R72" s="1869"/>
    </row>
    <row r="73" spans="1:18" ht="16.5" thickBot="1">
      <c r="A73" s="1825"/>
      <c r="B73" s="779"/>
      <c r="C73" s="779"/>
      <c r="D73" s="1825"/>
      <c r="E73" s="1825"/>
      <c r="F73" s="1825"/>
      <c r="O73" s="1877" t="s">
        <v>1041</v>
      </c>
      <c r="P73" s="1868" t="s">
        <v>1561</v>
      </c>
      <c r="Q73" s="1869" t="e">
        <f ca="1">L58</f>
        <v>#DIV/0!</v>
      </c>
      <c r="R73" s="1869" t="s">
        <v>1562</v>
      </c>
    </row>
    <row r="74" spans="1:18" ht="13.5" thickBot="1">
      <c r="A74" s="1825"/>
      <c r="B74" s="308" t="s">
        <v>1581</v>
      </c>
      <c r="C74" s="1918"/>
      <c r="D74" s="1825"/>
      <c r="E74" s="1825"/>
      <c r="F74" s="1825"/>
      <c r="O74" s="1877" t="s">
        <v>1048</v>
      </c>
      <c r="P74" s="1868" t="str">
        <f>K59</f>
        <v>续建工期及建筑物耐用年限下的土地年期修正系数Kn</v>
      </c>
      <c r="Q74" s="1869" t="e">
        <f ca="1">L59</f>
        <v>#DIV/0!</v>
      </c>
      <c r="R74" s="1869" t="s">
        <v>1563</v>
      </c>
    </row>
    <row r="75" spans="1:18" ht="13.5" thickBot="1">
      <c r="A75" s="1825"/>
      <c r="B75" s="377" t="s">
        <v>1500</v>
      </c>
      <c r="C75" s="378">
        <f ca="1">ROUND(C13*C76,0)</f>
        <v>37131</v>
      </c>
      <c r="D75" s="1825"/>
      <c r="E75" s="1825"/>
      <c r="F75" s="1825"/>
      <c r="K75" s="1851"/>
      <c r="L75" s="1825"/>
      <c r="O75" s="1867" t="s">
        <v>1042</v>
      </c>
      <c r="P75" s="1868" t="s">
        <v>1543</v>
      </c>
      <c r="Q75" s="1869">
        <f ca="1">Q65+Q66</f>
        <v>4489537</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0.81200000000000006</v>
      </c>
    </row>
    <row r="80" spans="1:18">
      <c r="B80" s="377" t="s">
        <v>1505</v>
      </c>
      <c r="C80" s="309">
        <f ca="1">ROUND(C75/C39,3)</f>
        <v>0.188</v>
      </c>
    </row>
    <row r="81" spans="2:3">
      <c r="B81" s="305" t="s">
        <v>1506</v>
      </c>
      <c r="C81" s="273"/>
    </row>
    <row r="82" spans="2:3">
      <c r="B82" s="308" t="s">
        <v>1507</v>
      </c>
      <c r="C82" s="310">
        <f ca="1">1-C83</f>
        <v>0.90300000000000002</v>
      </c>
    </row>
    <row r="83" spans="2:3">
      <c r="B83" s="308" t="s">
        <v>1508</v>
      </c>
      <c r="C83" s="309">
        <f ca="1">ROUND(C13/C40,3)</f>
        <v>9.7000000000000003E-2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codeName="Sheet34">
    <tabColor rgb="FF92D050"/>
  </sheetPr>
  <dimension ref="A1:F13"/>
  <sheetViews>
    <sheetView workbookViewId="0">
      <selection activeCell="F19" sqref="F19"/>
    </sheetView>
  </sheetViews>
  <sheetFormatPr defaultColWidth="9" defaultRowHeight="14.25"/>
  <cols>
    <col min="1" max="1" width="23.625" style="1927" customWidth="1"/>
    <col min="2" max="2" width="12" style="1927" customWidth="1"/>
    <col min="3" max="3" width="9" style="1927"/>
    <col min="4" max="4" width="14.125" style="1927" customWidth="1"/>
    <col min="5" max="5" width="9" style="1927"/>
    <col min="6" max="6" width="12.875" style="1927" customWidth="1"/>
    <col min="7" max="16384" width="9" style="1927"/>
  </cols>
  <sheetData>
    <row r="1" spans="1:6" ht="21">
      <c r="A1" s="2544" t="s">
        <v>2514</v>
      </c>
      <c r="B1" s="2545"/>
      <c r="C1" s="2545"/>
      <c r="D1" s="2545"/>
      <c r="E1" s="2546"/>
    </row>
    <row r="2" spans="1:6" ht="15.75">
      <c r="A2" s="2547" t="s">
        <v>2315</v>
      </c>
      <c r="B2" s="2548">
        <f ca="1">SUMIF(B6:B13,"&lt;&gt;#ref!",B6:B13)</f>
        <v>450</v>
      </c>
      <c r="C2" s="2549" t="s">
        <v>2507</v>
      </c>
      <c r="D2" s="2550" t="s">
        <v>2508</v>
      </c>
      <c r="E2" s="2551">
        <f>SUM(E6:E13)</f>
        <v>125.85</v>
      </c>
    </row>
    <row r="3" spans="1:6" ht="15.75">
      <c r="A3" s="2547" t="s">
        <v>1389</v>
      </c>
      <c r="B3" s="2548">
        <f ca="1">ROUND(B2*10000/E2,0)</f>
        <v>35757</v>
      </c>
      <c r="C3" s="2549" t="s">
        <v>2515</v>
      </c>
      <c r="D3" s="2552"/>
      <c r="E3" s="2553"/>
    </row>
    <row r="4" spans="1:6" ht="15.75">
      <c r="A4" s="2554"/>
      <c r="B4" s="2552"/>
      <c r="C4" s="2552"/>
      <c r="D4" s="2552"/>
      <c r="E4" s="2553"/>
    </row>
    <row r="5" spans="1:6" ht="15">
      <c r="A5" s="2555" t="s">
        <v>2509</v>
      </c>
      <c r="B5" s="3249" t="s">
        <v>2510</v>
      </c>
      <c r="C5" s="3249"/>
      <c r="D5" s="2556"/>
      <c r="E5" s="2557" t="s">
        <v>2511</v>
      </c>
      <c r="F5" s="2558" t="s">
        <v>2512</v>
      </c>
    </row>
    <row r="6" spans="1:6">
      <c r="A6" s="2559" t="str">
        <f>'数据-取费表'!AN6</f>
        <v>收益法 (元)</v>
      </c>
      <c r="B6" s="2558">
        <f ca="1">IF(F6="是",'数据-取费表'!AO6,0)</f>
        <v>450</v>
      </c>
      <c r="C6" s="2549" t="s">
        <v>2507</v>
      </c>
      <c r="D6" s="2552"/>
      <c r="E6" s="2560">
        <f>IF(OR(A6=0,F6="否"),0,'数据-取费表'!K6+'数据-取费表'!S6)</f>
        <v>125.85</v>
      </c>
      <c r="F6" s="2561" t="s">
        <v>2513</v>
      </c>
    </row>
    <row r="7" spans="1:6">
      <c r="A7" s="2559">
        <f>'数据-取费表'!AN7</f>
        <v>0</v>
      </c>
      <c r="B7" s="2558" t="e">
        <f ca="1">IF(F7="是",'数据-取费表'!AO7,0)</f>
        <v>#REF!</v>
      </c>
      <c r="C7" s="2549" t="s">
        <v>2507</v>
      </c>
      <c r="D7" s="2552"/>
      <c r="E7" s="2560">
        <f>IF(OR(A7=0,F7="否"),0,'数据-取费表'!K7+'数据-取费表'!S7)</f>
        <v>0</v>
      </c>
      <c r="F7" s="2561" t="s">
        <v>2513</v>
      </c>
    </row>
    <row r="8" spans="1:6">
      <c r="A8" s="2559">
        <f>'数据-取费表'!AN8</f>
        <v>0</v>
      </c>
      <c r="B8" s="2558" t="e">
        <f ca="1">IF(F8="是",'数据-取费表'!AO8,0)</f>
        <v>#REF!</v>
      </c>
      <c r="C8" s="2549" t="s">
        <v>2507</v>
      </c>
      <c r="D8" s="2552"/>
      <c r="E8" s="2560">
        <f>IF(OR(A8=0,F8="否"),0,'数据-取费表'!K8+'数据-取费表'!S8)</f>
        <v>0</v>
      </c>
      <c r="F8" s="2561" t="s">
        <v>2513</v>
      </c>
    </row>
    <row r="9" spans="1:6">
      <c r="A9" s="2559">
        <f>'数据-取费表'!AN9</f>
        <v>0</v>
      </c>
      <c r="B9" s="2558" t="e">
        <f ca="1">IF(F9="是",'数据-取费表'!AO9,0)</f>
        <v>#REF!</v>
      </c>
      <c r="C9" s="2549" t="s">
        <v>2507</v>
      </c>
      <c r="D9" s="2552"/>
      <c r="E9" s="2560">
        <f>IF(OR(A9=0,F9="否"),0,'数据-取费表'!K9+'数据-取费表'!S9)</f>
        <v>0</v>
      </c>
      <c r="F9" s="2561" t="s">
        <v>2513</v>
      </c>
    </row>
    <row r="10" spans="1:6">
      <c r="A10" s="2559">
        <f>'数据-取费表'!AN10</f>
        <v>0</v>
      </c>
      <c r="B10" s="2558" t="e">
        <f ca="1">IF(F10="是",'数据-取费表'!AO10,0)</f>
        <v>#REF!</v>
      </c>
      <c r="C10" s="2549" t="s">
        <v>2507</v>
      </c>
      <c r="D10" s="2552"/>
      <c r="E10" s="2560">
        <f>IF(OR(A10=0,F10="否"),0,'数据-取费表'!K10+'数据-取费表'!S10)</f>
        <v>0</v>
      </c>
      <c r="F10" s="2561" t="s">
        <v>2513</v>
      </c>
    </row>
    <row r="11" spans="1:6">
      <c r="A11" s="2559">
        <f>'数据-取费表'!AN11</f>
        <v>0</v>
      </c>
      <c r="B11" s="2558" t="e">
        <f ca="1">IF(F11="是",'数据-取费表'!AO11,0)</f>
        <v>#REF!</v>
      </c>
      <c r="C11" s="2549" t="s">
        <v>2507</v>
      </c>
      <c r="D11" s="2552"/>
      <c r="E11" s="2560">
        <f>IF(OR(A11=0,F11="否"),0,'数据-取费表'!K11+'数据-取费表'!S11)</f>
        <v>0</v>
      </c>
      <c r="F11" s="2561" t="s">
        <v>2513</v>
      </c>
    </row>
    <row r="12" spans="1:6">
      <c r="A12" s="2559">
        <f>'数据-取费表'!AN12</f>
        <v>0</v>
      </c>
      <c r="B12" s="2558" t="e">
        <f ca="1">IF(F12="是",'数据-取费表'!AO12,0)</f>
        <v>#REF!</v>
      </c>
      <c r="C12" s="2549" t="s">
        <v>2507</v>
      </c>
      <c r="D12" s="2552"/>
      <c r="E12" s="2560">
        <f>IF(OR(A12=0,F12="否"),0,'数据-取费表'!K12+'数据-取费表'!S12)</f>
        <v>0</v>
      </c>
      <c r="F12" s="2561" t="s">
        <v>2513</v>
      </c>
    </row>
    <row r="13" spans="1:6" ht="15" thickBot="1">
      <c r="A13" s="2562">
        <f>'数据-取费表'!AN13</f>
        <v>0</v>
      </c>
      <c r="B13" s="2558" t="e">
        <f ca="1">IF(F13="是",'数据-取费表'!AO13,0)</f>
        <v>#REF!</v>
      </c>
      <c r="C13" s="2563" t="s">
        <v>2507</v>
      </c>
      <c r="D13" s="2564"/>
      <c r="E13" s="2560">
        <f>IF(OR(A13=0,F13="否"),0,'数据-取费表'!K13+'数据-取费表'!S13)</f>
        <v>0</v>
      </c>
      <c r="F13" s="256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0" t="s">
        <v>1072</v>
      </c>
      <c r="B1" s="3251"/>
      <c r="C1" s="3252"/>
      <c r="D1" s="3253">
        <f>SUM(I10,I15,I20,I21,I23)</f>
        <v>0</v>
      </c>
      <c r="E1" s="3253"/>
      <c r="F1" s="3253"/>
      <c r="G1" s="3253"/>
      <c r="H1" s="3253"/>
      <c r="I1" s="3254"/>
    </row>
    <row r="2" spans="1:9">
      <c r="A2" s="3255" t="s">
        <v>1073</v>
      </c>
      <c r="B2" s="3256" t="s">
        <v>1074</v>
      </c>
      <c r="C2" s="3256"/>
      <c r="D2" s="1284" t="s">
        <v>1075</v>
      </c>
      <c r="E2" s="1284" t="s">
        <v>1076</v>
      </c>
      <c r="F2" s="1284" t="s">
        <v>1077</v>
      </c>
      <c r="G2" s="1284" t="s">
        <v>1078</v>
      </c>
      <c r="H2" s="1284" t="s">
        <v>1079</v>
      </c>
      <c r="I2" s="1285" t="s">
        <v>1080</v>
      </c>
    </row>
    <row r="3" spans="1:9">
      <c r="A3" s="3255"/>
      <c r="B3" s="3256" t="s">
        <v>1081</v>
      </c>
      <c r="C3" s="3256"/>
      <c r="D3" s="1286"/>
      <c r="E3" s="1284"/>
      <c r="F3" s="1287"/>
      <c r="G3" s="1287"/>
      <c r="H3" s="1288"/>
      <c r="I3" s="1289">
        <f>ROUND(D3*E3*F3*G3*H3/10000,0)</f>
        <v>0</v>
      </c>
    </row>
    <row r="4" spans="1:9">
      <c r="A4" s="3255"/>
      <c r="B4" s="3256" t="s">
        <v>1082</v>
      </c>
      <c r="C4" s="3256"/>
      <c r="D4" s="1286"/>
      <c r="E4" s="1284"/>
      <c r="F4" s="1287"/>
      <c r="G4" s="1287"/>
      <c r="H4" s="1288"/>
      <c r="I4" s="1289">
        <f t="shared" ref="I4:I9" si="0">ROUND(D4*E4*F4*G4*H4/10000,0)</f>
        <v>0</v>
      </c>
    </row>
    <row r="5" spans="1:9">
      <c r="A5" s="3255"/>
      <c r="B5" s="3256" t="s">
        <v>1083</v>
      </c>
      <c r="C5" s="3256"/>
      <c r="D5" s="1286"/>
      <c r="E5" s="1284"/>
      <c r="F5" s="1287"/>
      <c r="G5" s="1287"/>
      <c r="H5" s="1288"/>
      <c r="I5" s="1289">
        <f t="shared" si="0"/>
        <v>0</v>
      </c>
    </row>
    <row r="6" spans="1:9">
      <c r="A6" s="3255"/>
      <c r="B6" s="3256" t="s">
        <v>1084</v>
      </c>
      <c r="C6" s="3256"/>
      <c r="D6" s="1286"/>
      <c r="E6" s="1284"/>
      <c r="F6" s="1287"/>
      <c r="G6" s="1287"/>
      <c r="H6" s="1288"/>
      <c r="I6" s="1289">
        <f t="shared" si="0"/>
        <v>0</v>
      </c>
    </row>
    <row r="7" spans="1:9">
      <c r="A7" s="3255"/>
      <c r="B7" s="3256" t="s">
        <v>1085</v>
      </c>
      <c r="C7" s="3256"/>
      <c r="D7" s="1286"/>
      <c r="E7" s="1284"/>
      <c r="F7" s="1287"/>
      <c r="G7" s="1287"/>
      <c r="H7" s="1288"/>
      <c r="I7" s="1289">
        <f t="shared" si="0"/>
        <v>0</v>
      </c>
    </row>
    <row r="8" spans="1:9">
      <c r="A8" s="3255"/>
      <c r="B8" s="3256" t="s">
        <v>1086</v>
      </c>
      <c r="C8" s="3256"/>
      <c r="D8" s="1286"/>
      <c r="E8" s="1284"/>
      <c r="F8" s="1287"/>
      <c r="G8" s="1287"/>
      <c r="H8" s="1288"/>
      <c r="I8" s="1289">
        <f t="shared" si="0"/>
        <v>0</v>
      </c>
    </row>
    <row r="9" spans="1:9">
      <c r="A9" s="3255"/>
      <c r="B9" s="3256" t="s">
        <v>1087</v>
      </c>
      <c r="C9" s="3256"/>
      <c r="D9" s="1286"/>
      <c r="E9" s="1284"/>
      <c r="F9" s="1287"/>
      <c r="G9" s="1287"/>
      <c r="H9" s="1288"/>
      <c r="I9" s="1289">
        <f t="shared" si="0"/>
        <v>0</v>
      </c>
    </row>
    <row r="10" spans="1:9">
      <c r="A10" s="3255"/>
      <c r="B10" s="3257" t="s">
        <v>1088</v>
      </c>
      <c r="C10" s="3257"/>
      <c r="D10" s="1290"/>
      <c r="E10" s="1290" t="e">
        <f>ROUND(D1*10000/D10/H9,0)</f>
        <v>#DIV/0!</v>
      </c>
      <c r="F10" s="1291"/>
      <c r="G10" s="1291"/>
      <c r="H10" s="1292"/>
      <c r="I10" s="1293">
        <f>SUM(I3:I9)</f>
        <v>0</v>
      </c>
    </row>
    <row r="11" spans="1:9" ht="14.25">
      <c r="A11" s="3255" t="s">
        <v>1089</v>
      </c>
      <c r="B11" s="3256" t="s">
        <v>1090</v>
      </c>
      <c r="C11" s="3256"/>
      <c r="D11" s="1286" t="s">
        <v>1091</v>
      </c>
      <c r="E11" s="1286" t="s">
        <v>1092</v>
      </c>
      <c r="F11" s="1287" t="s">
        <v>1093</v>
      </c>
      <c r="G11" s="1287" t="s">
        <v>1079</v>
      </c>
      <c r="H11" s="1294" t="s">
        <v>1094</v>
      </c>
      <c r="I11" s="1285" t="s">
        <v>1080</v>
      </c>
    </row>
    <row r="12" spans="1:9">
      <c r="A12" s="3255"/>
      <c r="B12" s="3256" t="s">
        <v>1095</v>
      </c>
      <c r="C12" s="3256"/>
      <c r="D12" s="1286"/>
      <c r="E12" s="1286"/>
      <c r="F12" s="1287"/>
      <c r="G12" s="1288"/>
      <c r="H12" s="1295"/>
      <c r="I12" s="1285">
        <f>ROUND(D12*E12*F12*G12/10000,0)</f>
        <v>0</v>
      </c>
    </row>
    <row r="13" spans="1:9">
      <c r="A13" s="3255"/>
      <c r="B13" s="3256" t="s">
        <v>1096</v>
      </c>
      <c r="C13" s="3256"/>
      <c r="D13" s="1286"/>
      <c r="E13" s="1286"/>
      <c r="F13" s="1287"/>
      <c r="G13" s="1288"/>
      <c r="H13" s="1295"/>
      <c r="I13" s="1285">
        <f>ROUND(D13*E13*F13*G13/10000,0)</f>
        <v>0</v>
      </c>
    </row>
    <row r="14" spans="1:9">
      <c r="A14" s="3255"/>
      <c r="B14" s="3256" t="s">
        <v>1097</v>
      </c>
      <c r="C14" s="3256"/>
      <c r="D14" s="1286"/>
      <c r="E14" s="1286"/>
      <c r="F14" s="1287"/>
      <c r="G14" s="1288"/>
      <c r="H14" s="1295"/>
      <c r="I14" s="1285">
        <f>ROUND(D14*E14*F14*G14/10000,0)</f>
        <v>0</v>
      </c>
    </row>
    <row r="15" spans="1:9">
      <c r="A15" s="3255"/>
      <c r="B15" s="3257" t="s">
        <v>1088</v>
      </c>
      <c r="C15" s="3257"/>
      <c r="D15" s="1290"/>
      <c r="E15" s="1290">
        <f>SUM(E12:E14)</f>
        <v>0</v>
      </c>
      <c r="F15" s="1291"/>
      <c r="G15" s="1288"/>
      <c r="H15" s="1295"/>
      <c r="I15" s="1296">
        <f>SUM(I12:I14)</f>
        <v>0</v>
      </c>
    </row>
    <row r="16" spans="1:9" ht="24">
      <c r="A16" s="3255" t="s">
        <v>1098</v>
      </c>
      <c r="B16" s="3256" t="s">
        <v>1099</v>
      </c>
      <c r="C16" s="3256"/>
      <c r="D16" s="1286" t="s">
        <v>1075</v>
      </c>
      <c r="E16" s="1297" t="s">
        <v>1100</v>
      </c>
      <c r="F16" s="1287" t="s">
        <v>1101</v>
      </c>
      <c r="G16" s="1288" t="s">
        <v>1079</v>
      </c>
      <c r="H16" s="1294" t="s">
        <v>1094</v>
      </c>
      <c r="I16" s="1285" t="s">
        <v>1080</v>
      </c>
    </row>
    <row r="17" spans="1:9" ht="14.25">
      <c r="A17" s="3255"/>
      <c r="B17" s="3256" t="s">
        <v>1102</v>
      </c>
      <c r="C17" s="3256"/>
      <c r="D17" s="1286"/>
      <c r="E17" s="1286"/>
      <c r="F17" s="1287"/>
      <c r="G17" s="1288"/>
      <c r="H17" s="1298"/>
      <c r="I17" s="1299">
        <f>ROUND(D17*E17*F17*G17/10000,0)</f>
        <v>0</v>
      </c>
    </row>
    <row r="18" spans="1:9" ht="14.25">
      <c r="A18" s="3255"/>
      <c r="B18" s="3256" t="s">
        <v>1103</v>
      </c>
      <c r="C18" s="3256"/>
      <c r="D18" s="1286"/>
      <c r="E18" s="1286"/>
      <c r="F18" s="1287"/>
      <c r="G18" s="1288"/>
      <c r="H18" s="1298"/>
      <c r="I18" s="1299">
        <f>ROUND(D18*E18*F18*G18/10000,0)</f>
        <v>0</v>
      </c>
    </row>
    <row r="19" spans="1:9" ht="14.25">
      <c r="A19" s="3255"/>
      <c r="B19" s="3256" t="s">
        <v>1104</v>
      </c>
      <c r="C19" s="3256"/>
      <c r="D19" s="1286"/>
      <c r="E19" s="1286"/>
      <c r="F19" s="1287"/>
      <c r="G19" s="1288"/>
      <c r="H19" s="1298"/>
      <c r="I19" s="1299">
        <f>ROUND(D19*E19*F19*G19/10000,0)</f>
        <v>0</v>
      </c>
    </row>
    <row r="20" spans="1:9">
      <c r="A20" s="3255"/>
      <c r="B20" s="3257" t="s">
        <v>1088</v>
      </c>
      <c r="C20" s="3257"/>
      <c r="D20" s="1290">
        <f>SUM(D17:D19)</f>
        <v>0</v>
      </c>
      <c r="E20" s="1290"/>
      <c r="F20" s="1291"/>
      <c r="G20" s="1288"/>
      <c r="H20" s="1295"/>
      <c r="I20" s="1296">
        <f>SUM(I17:I19)</f>
        <v>0</v>
      </c>
    </row>
    <row r="21" spans="1:9">
      <c r="A21" s="3255" t="s">
        <v>1105</v>
      </c>
      <c r="B21" s="3259"/>
      <c r="C21" s="3259"/>
      <c r="D21" s="3259"/>
      <c r="E21" s="3259"/>
      <c r="F21" s="3259"/>
      <c r="G21" s="3259"/>
      <c r="H21" s="1748">
        <v>0.1</v>
      </c>
      <c r="I21" s="1293">
        <f>ROUND(I10*H21,0)</f>
        <v>0</v>
      </c>
    </row>
    <row r="22" spans="1:9" ht="14.25">
      <c r="A22" s="3260" t="s">
        <v>1106</v>
      </c>
      <c r="B22" s="3261"/>
      <c r="C22" s="3262"/>
      <c r="D22" s="1300" t="s">
        <v>1107</v>
      </c>
      <c r="E22" s="1300" t="s">
        <v>1108</v>
      </c>
      <c r="F22" s="1301" t="s">
        <v>1109</v>
      </c>
      <c r="G22" s="1301" t="s">
        <v>1110</v>
      </c>
      <c r="H22" s="1294" t="s">
        <v>1111</v>
      </c>
      <c r="I22" s="1285" t="s">
        <v>1112</v>
      </c>
    </row>
    <row r="23" spans="1:9" ht="14.25" thickBot="1">
      <c r="A23" s="3263"/>
      <c r="B23" s="3264"/>
      <c r="C23" s="3265"/>
      <c r="D23" s="1302"/>
      <c r="E23" s="1302"/>
      <c r="F23" s="1302"/>
      <c r="G23" s="1303"/>
      <c r="H23" s="1304"/>
      <c r="I23" s="1305">
        <f>ROUND(E23*D23*F23*(1-G23)/10000,0)</f>
        <v>0</v>
      </c>
    </row>
    <row r="26" spans="1:9">
      <c r="A26" s="1306" t="s">
        <v>1113</v>
      </c>
      <c r="B26" s="1306"/>
      <c r="C26" s="1306"/>
      <c r="D26" s="1306"/>
      <c r="E26" s="3266">
        <f>C27-C30-C31-C32</f>
        <v>0</v>
      </c>
      <c r="F26" s="3266"/>
      <c r="G26" s="3266"/>
      <c r="H26" s="1720" t="s">
        <v>1335</v>
      </c>
    </row>
    <row r="27" spans="1:9">
      <c r="A27" s="1307">
        <v>1</v>
      </c>
      <c r="B27" s="1308" t="s">
        <v>1114</v>
      </c>
      <c r="C27" s="1308">
        <f>C28+C29</f>
        <v>0</v>
      </c>
      <c r="D27" s="1308"/>
      <c r="E27" s="3267"/>
      <c r="F27" s="3267"/>
      <c r="G27" s="3267"/>
    </row>
    <row r="28" spans="1:9">
      <c r="A28" s="1309" t="s">
        <v>1115</v>
      </c>
      <c r="B28" s="1308" t="s">
        <v>1116</v>
      </c>
      <c r="C28" s="1308"/>
      <c r="D28" s="1308"/>
      <c r="E28" s="3267"/>
      <c r="F28" s="3267"/>
      <c r="G28" s="3267"/>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258"/>
      <c r="F32" s="3258"/>
      <c r="G32" s="3258"/>
    </row>
    <row r="33" spans="1:7" hidden="1">
      <c r="A33" s="3268" t="s">
        <v>1125</v>
      </c>
      <c r="B33" s="3269"/>
      <c r="C33" s="3269"/>
      <c r="D33" s="3270"/>
      <c r="E33" s="3266"/>
      <c r="F33" s="3266"/>
      <c r="G33" s="3266"/>
    </row>
    <row r="34" spans="1:7" hidden="1">
      <c r="A34" s="1311">
        <v>1</v>
      </c>
      <c r="B34" s="1308" t="s">
        <v>1126</v>
      </c>
      <c r="C34" s="1308"/>
      <c r="D34" s="1308"/>
      <c r="E34" s="3267"/>
      <c r="F34" s="3267"/>
      <c r="G34" s="3267"/>
    </row>
    <row r="35" spans="1:7" hidden="1">
      <c r="A35" s="1311">
        <v>2</v>
      </c>
      <c r="B35" s="1308" t="s">
        <v>1127</v>
      </c>
      <c r="C35" s="1308"/>
      <c r="D35" s="1308"/>
      <c r="E35" s="3267"/>
      <c r="F35" s="3267"/>
      <c r="G35" s="3267"/>
    </row>
    <row r="36" spans="1:7" hidden="1">
      <c r="A36" s="1311">
        <v>3</v>
      </c>
      <c r="B36" s="1308" t="s">
        <v>1128</v>
      </c>
      <c r="C36" s="1308"/>
      <c r="D36" s="1308"/>
      <c r="E36" s="3267"/>
      <c r="F36" s="3267"/>
      <c r="G36" s="3267"/>
    </row>
    <row r="37" spans="1:7" hidden="1">
      <c r="A37" s="1311">
        <v>4</v>
      </c>
      <c r="B37" s="1308" t="s">
        <v>1129</v>
      </c>
      <c r="C37" s="1308"/>
      <c r="D37" s="1308"/>
      <c r="E37" s="3267"/>
      <c r="F37" s="3267"/>
      <c r="G37" s="3267"/>
    </row>
    <row r="38" spans="1:7" hidden="1">
      <c r="A38" s="3268" t="s">
        <v>1130</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7"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2516</v>
      </c>
      <c r="B1" s="2565" t="s">
        <v>2517</v>
      </c>
      <c r="C1" s="1617" t="s">
        <v>2518</v>
      </c>
      <c r="D1" s="1604"/>
      <c r="E1" s="2566"/>
      <c r="F1" s="2567" t="s">
        <v>2519</v>
      </c>
      <c r="G1" s="1614" t="s">
        <v>2520</v>
      </c>
      <c r="H1" s="1613"/>
      <c r="I1" s="1613"/>
      <c r="J1" s="1613"/>
      <c r="K1" s="1615"/>
      <c r="L1" s="1616"/>
      <c r="M1" s="1617"/>
      <c r="N1" s="1617"/>
      <c r="O1" s="1617"/>
      <c r="P1" s="2568"/>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69"/>
      <c r="D2" s="1348" t="e">
        <f ca="1">SUMIF(INDIRECT("'"&amp;F2&amp;"'"&amp;"!A:A"),"承租人权益价值",INDIRECT("'"&amp;F2&amp;"'"&amp;"!c:c"))</f>
        <v>#REF!</v>
      </c>
      <c r="E2" s="2570" t="s">
        <v>2521</v>
      </c>
      <c r="F2" s="2571"/>
      <c r="G2" s="1107"/>
      <c r="H2" s="1107"/>
      <c r="I2" s="1107"/>
      <c r="J2" s="1107"/>
      <c r="K2" s="2572"/>
      <c r="L2" s="2573"/>
      <c r="M2" s="2574"/>
      <c r="N2" s="2574"/>
      <c r="O2" s="2574"/>
      <c r="P2" s="2575"/>
      <c r="Q2" s="2576"/>
      <c r="R2" s="2576"/>
      <c r="S2" s="2576"/>
      <c r="T2" s="2576"/>
      <c r="U2" s="2576"/>
      <c r="V2" s="2576"/>
      <c r="W2" s="2576"/>
      <c r="X2" s="2576"/>
      <c r="Y2" s="2576"/>
      <c r="Z2" s="2576"/>
      <c r="AA2" s="2576"/>
      <c r="AB2" s="2576"/>
      <c r="AC2" s="2577"/>
    </row>
    <row r="3" spans="1:29" s="384" customFormat="1" ht="28.5" customHeight="1" thickBot="1">
      <c r="A3" s="238" t="s">
        <v>1389</v>
      </c>
      <c r="B3" s="390" t="e">
        <f ca="1">IF(C2="——",C49,ROUND(B2*10000/D3,0))</f>
        <v>#DIV/0!</v>
      </c>
      <c r="C3" s="391" t="s">
        <v>2522</v>
      </c>
      <c r="D3" s="390">
        <f>IF(D1="",'数据-汇总表'!E3,SUMIF('数据-汇总表'!$C19:$C33,D1,'数据-汇总表'!$E19:$E33))</f>
        <v>1266.6499999999999</v>
      </c>
      <c r="E3" s="1107"/>
      <c r="F3" s="2578"/>
      <c r="G3" s="1107"/>
      <c r="H3" s="1107"/>
      <c r="I3" s="1107"/>
      <c r="J3" s="1107"/>
      <c r="K3" s="2572"/>
      <c r="L3" s="2573"/>
      <c r="M3" s="2574"/>
      <c r="N3" s="2574"/>
      <c r="O3" s="2574"/>
      <c r="P3" s="2575"/>
      <c r="Q3" s="2576"/>
      <c r="R3" s="2576"/>
      <c r="S3" s="2576"/>
      <c r="T3" s="2576"/>
      <c r="U3" s="2576"/>
      <c r="V3" s="2576"/>
      <c r="W3" s="2576"/>
      <c r="X3" s="2576"/>
      <c r="Y3" s="2576"/>
      <c r="Z3" s="2576"/>
      <c r="AA3" s="2576"/>
      <c r="AB3" s="2576"/>
      <c r="AC3" s="1265"/>
    </row>
    <row r="4" spans="1:29" ht="15">
      <c r="A4" s="392" t="s">
        <v>2523</v>
      </c>
      <c r="B4" s="393"/>
      <c r="C4" s="3229" t="s">
        <v>2524</v>
      </c>
      <c r="D4" s="3230"/>
      <c r="E4" s="3231" t="s">
        <v>2525</v>
      </c>
      <c r="F4" s="3232"/>
      <c r="G4" s="3229" t="s">
        <v>2526</v>
      </c>
      <c r="H4" s="3230"/>
      <c r="I4" s="3229" t="s">
        <v>2527</v>
      </c>
      <c r="J4" s="3230"/>
      <c r="K4" s="2579" t="s">
        <v>2528</v>
      </c>
      <c r="L4" s="1113"/>
      <c r="M4" s="1114"/>
      <c r="N4" s="1114"/>
      <c r="O4" s="1114"/>
      <c r="P4" s="3233" t="s">
        <v>2529</v>
      </c>
      <c r="Q4" s="3234"/>
      <c r="R4" s="3219" t="s">
        <v>2525</v>
      </c>
      <c r="S4" s="3220"/>
      <c r="T4" s="3219" t="s">
        <v>2526</v>
      </c>
      <c r="U4" s="3220"/>
      <c r="V4" s="3215" t="s">
        <v>2527</v>
      </c>
      <c r="W4" s="3215"/>
      <c r="X4" s="1796"/>
      <c r="Y4" s="3219" t="s">
        <v>2529</v>
      </c>
      <c r="Z4" s="3220"/>
      <c r="AA4" s="3225" t="s">
        <v>2525</v>
      </c>
      <c r="AB4" s="3225" t="s">
        <v>2526</v>
      </c>
      <c r="AC4" s="3225" t="s">
        <v>2527</v>
      </c>
    </row>
    <row r="5" spans="1:29" ht="15">
      <c r="A5" s="395"/>
      <c r="B5" s="396"/>
      <c r="C5" s="3239" t="s">
        <v>2530</v>
      </c>
      <c r="D5" s="3240"/>
      <c r="E5" s="3271" t="s">
        <v>2531</v>
      </c>
      <c r="F5" s="3272"/>
      <c r="G5" s="3239" t="s">
        <v>2532</v>
      </c>
      <c r="H5" s="3240"/>
      <c r="I5" s="3239" t="s">
        <v>2533</v>
      </c>
      <c r="J5" s="3240"/>
      <c r="K5" s="2580"/>
      <c r="L5" s="1113"/>
      <c r="M5" s="1114"/>
      <c r="N5" s="1114"/>
      <c r="O5" s="1114"/>
      <c r="P5" s="3235"/>
      <c r="Q5" s="3236"/>
      <c r="R5" s="3221"/>
      <c r="S5" s="3222"/>
      <c r="T5" s="3221"/>
      <c r="U5" s="3222"/>
      <c r="V5" s="3215"/>
      <c r="W5" s="3215"/>
      <c r="X5" s="1796"/>
      <c r="Y5" s="3221"/>
      <c r="Z5" s="3222"/>
      <c r="AA5" s="3226"/>
      <c r="AB5" s="3226"/>
      <c r="AC5" s="3226"/>
    </row>
    <row r="6" spans="1:29" ht="15.75" thickBot="1">
      <c r="A6" s="397"/>
      <c r="B6" s="398"/>
      <c r="C6" s="3245" t="s">
        <v>2534</v>
      </c>
      <c r="D6" s="3246"/>
      <c r="E6" s="3247" t="s">
        <v>2534</v>
      </c>
      <c r="F6" s="3248"/>
      <c r="G6" s="3245" t="s">
        <v>2534</v>
      </c>
      <c r="H6" s="3246"/>
      <c r="I6" s="3245" t="s">
        <v>2534</v>
      </c>
      <c r="J6" s="3246"/>
      <c r="K6" s="2580" t="s">
        <v>2535</v>
      </c>
      <c r="L6" s="1113"/>
      <c r="M6" s="1114"/>
      <c r="N6" s="1114"/>
      <c r="O6" s="1114"/>
      <c r="P6" s="3237"/>
      <c r="Q6" s="3238"/>
      <c r="R6" s="3221"/>
      <c r="S6" s="3222"/>
      <c r="T6" s="3223"/>
      <c r="U6" s="3224"/>
      <c r="V6" s="3215"/>
      <c r="W6" s="3215"/>
      <c r="X6" s="1796"/>
      <c r="Y6" s="3223"/>
      <c r="Z6" s="3224"/>
      <c r="AA6" s="3227"/>
      <c r="AB6" s="3227"/>
      <c r="AC6" s="3227"/>
    </row>
    <row r="7" spans="1:29" s="113" customFormat="1" ht="15.75" thickBot="1">
      <c r="A7" s="399" t="s">
        <v>2536</v>
      </c>
      <c r="B7" s="400"/>
      <c r="C7" s="401">
        <f>'数据-取费表'!B2</f>
        <v>43886</v>
      </c>
      <c r="D7" s="402">
        <v>100</v>
      </c>
      <c r="E7" s="403"/>
      <c r="F7" s="404">
        <f>SUMIF(58:58,YEAR(E7)&amp;"-"&amp;MONTH(E7),59:59)</f>
        <v>0</v>
      </c>
      <c r="G7" s="403"/>
      <c r="H7" s="402">
        <f>SUMIF(58:58,YEAR(G7)&amp;"-"&amp;MONTH(G7),59:59)</f>
        <v>0</v>
      </c>
      <c r="I7" s="403"/>
      <c r="J7" s="402">
        <f>SUMIF(58:58,YEAR(I7)&amp;"-"&amp;MONTH(I7),59:59)</f>
        <v>0</v>
      </c>
      <c r="K7" s="2581"/>
      <c r="L7" s="1115"/>
      <c r="M7" s="1116"/>
      <c r="N7" s="1116"/>
      <c r="O7" s="1116"/>
      <c r="P7" s="3216" t="s">
        <v>2537</v>
      </c>
      <c r="Q7" s="3228"/>
      <c r="R7" s="753" t="s">
        <v>23</v>
      </c>
      <c r="S7" s="754">
        <f t="shared" ref="S7:S15" si="0">F7</f>
        <v>0</v>
      </c>
      <c r="T7" s="753" t="s">
        <v>23</v>
      </c>
      <c r="U7" s="754">
        <f t="shared" ref="U7:U15" si="1">H7</f>
        <v>0</v>
      </c>
      <c r="V7" s="753" t="s">
        <v>23</v>
      </c>
      <c r="W7" s="754">
        <f t="shared" ref="W7:W15" si="2">J7</f>
        <v>0</v>
      </c>
      <c r="X7" s="755"/>
      <c r="Y7" s="3216" t="s">
        <v>2537</v>
      </c>
      <c r="Z7" s="3217"/>
      <c r="AA7" s="756" t="e">
        <f>D7/F7</f>
        <v>#DIV/0!</v>
      </c>
      <c r="AB7" s="756" t="e">
        <f>D7/H7</f>
        <v>#DIV/0!</v>
      </c>
      <c r="AC7" s="756" t="e">
        <f>D7/J7</f>
        <v>#DIV/0!</v>
      </c>
    </row>
    <row r="8" spans="1:29" s="113" customFormat="1" ht="15.75" thickBot="1">
      <c r="A8" s="399" t="s">
        <v>2538</v>
      </c>
      <c r="B8" s="400"/>
      <c r="C8" s="405" t="s">
        <v>2539</v>
      </c>
      <c r="D8" s="402">
        <v>100</v>
      </c>
      <c r="E8" s="2582"/>
      <c r="F8" s="404">
        <f>SUMIF(61:61,E8,62:62)-SUMIF(61:61,C8,62:62)+100</f>
        <v>0</v>
      </c>
      <c r="G8" s="405"/>
      <c r="H8" s="402">
        <f>SUMIF(61:61,G8,62:62)-SUMIF(61:61,C8,62:62)+100</f>
        <v>0</v>
      </c>
      <c r="I8" s="2582"/>
      <c r="J8" s="402">
        <f>SUMIF(61:61,I8,62:62)-SUMIF(61:61,C8,62:62)+100</f>
        <v>0</v>
      </c>
      <c r="K8" s="2581"/>
      <c r="L8" s="1115"/>
      <c r="M8" s="1116"/>
      <c r="N8" s="1116"/>
      <c r="O8" s="1116"/>
      <c r="P8" s="3216" t="s">
        <v>2540</v>
      </c>
      <c r="Q8" s="3217"/>
      <c r="R8" s="753" t="s">
        <v>23</v>
      </c>
      <c r="S8" s="754">
        <f t="shared" si="0"/>
        <v>0</v>
      </c>
      <c r="T8" s="753" t="s">
        <v>23</v>
      </c>
      <c r="U8" s="754">
        <f t="shared" si="1"/>
        <v>0</v>
      </c>
      <c r="V8" s="753" t="s">
        <v>23</v>
      </c>
      <c r="W8" s="754">
        <f t="shared" si="2"/>
        <v>0</v>
      </c>
      <c r="X8" s="755"/>
      <c r="Y8" s="3216" t="s">
        <v>2540</v>
      </c>
      <c r="Z8" s="3217"/>
      <c r="AA8" s="756" t="e">
        <f t="shared" ref="AA8:AA19" si="3">D8/F8</f>
        <v>#DIV/0!</v>
      </c>
      <c r="AB8" s="756" t="e">
        <f t="shared" ref="AB8:AB19" si="4">D8/H8</f>
        <v>#DIV/0!</v>
      </c>
      <c r="AC8" s="756" t="e">
        <f t="shared" ref="AC8:AC19" si="5">D8/J8</f>
        <v>#DIV/0!</v>
      </c>
    </row>
    <row r="9" spans="1:29" s="113" customFormat="1">
      <c r="A9" s="406" t="s">
        <v>2541</v>
      </c>
      <c r="B9" s="70" t="s">
        <v>2542</v>
      </c>
      <c r="C9" s="407"/>
      <c r="D9" s="126">
        <v>100</v>
      </c>
      <c r="E9" s="408"/>
      <c r="F9" s="409">
        <f>SUMIF(63:63,E9,64:64)-SUMIF(63:63,C9,64:64)+100</f>
        <v>100</v>
      </c>
      <c r="G9" s="410"/>
      <c r="H9" s="126">
        <f>SUMIF(63:63,G9,64:64)-SUMIF(63:63,C9,64:64)+100</f>
        <v>100</v>
      </c>
      <c r="I9" s="410"/>
      <c r="J9" s="126">
        <f>SUMIF(63:63,I9,64:64)-SUMIF(63:63,C9,64:64)+100</f>
        <v>100</v>
      </c>
      <c r="K9" s="2581"/>
      <c r="L9" s="1115"/>
      <c r="M9" s="1116"/>
      <c r="N9" s="1116"/>
      <c r="O9" s="1116"/>
      <c r="P9" s="3218"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7">
      <c r="A10" s="412"/>
      <c r="B10" s="413" t="s">
        <v>2545</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413" t="s">
        <v>2546</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18"/>
      <c r="Q11" s="1778" t="str">
        <f t="shared" si="6"/>
        <v>容积率</v>
      </c>
      <c r="R11" s="753" t="s">
        <v>21</v>
      </c>
      <c r="S11" s="754" t="e">
        <f t="shared" si="0"/>
        <v>#N/A</v>
      </c>
      <c r="T11" s="753" t="s">
        <v>21</v>
      </c>
      <c r="U11" s="754" t="e">
        <f t="shared" si="1"/>
        <v>#N/A</v>
      </c>
      <c r="V11" s="753" t="s">
        <v>21</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423"/>
      <c r="F12" s="416">
        <f>SUMIF(70:70,E12,71:71)-SUMIF(70:70,C12,71:71)+100</f>
        <v>100</v>
      </c>
      <c r="G12" s="423"/>
      <c r="H12" s="127">
        <f>SUMIF(70:70,G12,71:71)-SUMIF(70:70,C12,71:71)+100</f>
        <v>100</v>
      </c>
      <c r="I12" s="423"/>
      <c r="J12" s="127">
        <f>SUMIF(70:70,I12,71:71)-SUMIF(70:70,C12,71:71)+100</f>
        <v>100</v>
      </c>
      <c r="K12" s="2584"/>
      <c r="L12" s="1115"/>
      <c r="M12" s="1116"/>
      <c r="N12" s="1116"/>
      <c r="O12" s="1116"/>
      <c r="P12" s="3218"/>
      <c r="Q12" s="1778">
        <f t="shared" si="6"/>
        <v>111</v>
      </c>
      <c r="R12" s="753" t="s">
        <v>21</v>
      </c>
      <c r="S12" s="754">
        <f t="shared" si="0"/>
        <v>100</v>
      </c>
      <c r="T12" s="753" t="s">
        <v>21</v>
      </c>
      <c r="U12" s="754">
        <f t="shared" si="1"/>
        <v>100</v>
      </c>
      <c r="V12" s="753" t="s">
        <v>21</v>
      </c>
      <c r="W12" s="754">
        <f t="shared" si="2"/>
        <v>100</v>
      </c>
      <c r="X12" s="755"/>
      <c r="Y12" s="3073"/>
      <c r="Z12" s="55">
        <f t="shared" si="7"/>
        <v>111</v>
      </c>
      <c r="AA12" s="756">
        <f>D12/F12</f>
        <v>1</v>
      </c>
      <c r="AB12" s="756">
        <f>D12/H12</f>
        <v>1</v>
      </c>
      <c r="AC12" s="756">
        <f>D12/J12</f>
        <v>1</v>
      </c>
    </row>
    <row r="13" spans="1:29" ht="15">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2584"/>
      <c r="L13" s="1123"/>
      <c r="M13" s="1114"/>
      <c r="N13" s="1114"/>
      <c r="O13" s="1114"/>
      <c r="P13" s="3218"/>
      <c r="Q13" s="1778">
        <f t="shared" si="6"/>
        <v>111</v>
      </c>
      <c r="R13" s="753" t="s">
        <v>21</v>
      </c>
      <c r="S13" s="754">
        <f t="shared" si="0"/>
        <v>100</v>
      </c>
      <c r="T13" s="753" t="s">
        <v>21</v>
      </c>
      <c r="U13" s="754">
        <f t="shared" si="1"/>
        <v>100</v>
      </c>
      <c r="V13" s="753" t="s">
        <v>21</v>
      </c>
      <c r="W13" s="754">
        <f t="shared" si="2"/>
        <v>100</v>
      </c>
      <c r="X13" s="755"/>
      <c r="Y13" s="3073"/>
      <c r="Z13" s="55">
        <f t="shared" si="7"/>
        <v>111</v>
      </c>
      <c r="AA13" s="756">
        <f t="shared" si="3"/>
        <v>1</v>
      </c>
      <c r="AB13" s="756">
        <f t="shared" si="4"/>
        <v>1</v>
      </c>
      <c r="AC13" s="756">
        <f t="shared" si="5"/>
        <v>1</v>
      </c>
    </row>
    <row r="14" spans="1:29" ht="15.75" thickBot="1">
      <c r="A14" s="427"/>
      <c r="B14" s="2585">
        <v>111</v>
      </c>
      <c r="C14" s="428"/>
      <c r="D14" s="429">
        <v>100</v>
      </c>
      <c r="E14" s="428"/>
      <c r="F14" s="430">
        <f>SUMIF(74:74,E14,75:75)-SUMIF(74:74,C14,75:75)+100</f>
        <v>100</v>
      </c>
      <c r="G14" s="428"/>
      <c r="H14" s="429">
        <f>SUMIF(74:74,G14,75:75)-SUMIF(74:74,C14,75:75)+100</f>
        <v>100</v>
      </c>
      <c r="I14" s="428"/>
      <c r="J14" s="429">
        <f>SUMIF(74:74,I14,75:75)-SUMIF(74:74,C14,75:75)+100</f>
        <v>100</v>
      </c>
      <c r="K14" s="2584"/>
      <c r="L14" s="1123"/>
      <c r="M14" s="1114"/>
      <c r="N14" s="1114"/>
      <c r="O14" s="1114"/>
      <c r="P14" s="3218"/>
      <c r="Q14" s="1778">
        <f t="shared" si="6"/>
        <v>111</v>
      </c>
      <c r="R14" s="753" t="s">
        <v>21</v>
      </c>
      <c r="S14" s="754">
        <f t="shared" si="0"/>
        <v>100</v>
      </c>
      <c r="T14" s="753" t="s">
        <v>21</v>
      </c>
      <c r="U14" s="754">
        <f t="shared" si="1"/>
        <v>100</v>
      </c>
      <c r="V14" s="753" t="s">
        <v>21</v>
      </c>
      <c r="W14" s="754">
        <f t="shared" si="2"/>
        <v>100</v>
      </c>
      <c r="X14" s="755"/>
      <c r="Y14" s="3073"/>
      <c r="Z14" s="55">
        <f t="shared" si="7"/>
        <v>111</v>
      </c>
      <c r="AA14" s="756">
        <f t="shared" si="3"/>
        <v>1</v>
      </c>
      <c r="AB14" s="756">
        <f t="shared" si="4"/>
        <v>1</v>
      </c>
      <c r="AC14" s="756">
        <f t="shared" si="5"/>
        <v>1</v>
      </c>
    </row>
    <row r="15" spans="1:29" ht="15">
      <c r="A15" s="431" t="s">
        <v>2547</v>
      </c>
      <c r="B15" s="68" t="s">
        <v>2081</v>
      </c>
      <c r="C15" s="2586">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206" t="s">
        <v>2548</v>
      </c>
      <c r="Q15" s="1793" t="str">
        <f t="shared" si="6"/>
        <v>居住社区成熟度</v>
      </c>
      <c r="R15" s="757" t="s">
        <v>21</v>
      </c>
      <c r="S15" s="758">
        <f t="shared" si="0"/>
        <v>100</v>
      </c>
      <c r="T15" s="757" t="s">
        <v>21</v>
      </c>
      <c r="U15" s="758">
        <f t="shared" si="1"/>
        <v>100</v>
      </c>
      <c r="V15" s="757" t="s">
        <v>21</v>
      </c>
      <c r="W15" s="758">
        <f t="shared" si="2"/>
        <v>100</v>
      </c>
      <c r="X15" s="1796"/>
      <c r="Y15" s="3208" t="s">
        <v>2548</v>
      </c>
      <c r="Z15" s="1797" t="str">
        <f t="shared" si="7"/>
        <v>居住社区成熟度</v>
      </c>
      <c r="AA15" s="1794">
        <f t="shared" si="3"/>
        <v>1</v>
      </c>
      <c r="AB15" s="1794">
        <f t="shared" si="4"/>
        <v>1</v>
      </c>
      <c r="AC15" s="1794">
        <f t="shared" si="5"/>
        <v>1</v>
      </c>
    </row>
    <row r="16" spans="1:29" ht="15">
      <c r="A16" s="419"/>
      <c r="B16" s="437"/>
      <c r="C16" s="438"/>
      <c r="D16" s="439"/>
      <c r="E16" s="2587"/>
      <c r="F16" s="439"/>
      <c r="G16" s="2588"/>
      <c r="H16" s="441"/>
      <c r="I16" s="2588"/>
      <c r="J16" s="439"/>
      <c r="K16" s="2589"/>
      <c r="L16" s="1123"/>
      <c r="M16" s="1114"/>
      <c r="N16" s="1114"/>
      <c r="O16" s="1114"/>
      <c r="P16" s="3207"/>
      <c r="Q16" s="1793"/>
      <c r="R16" s="757"/>
      <c r="S16" s="758"/>
      <c r="T16" s="757"/>
      <c r="U16" s="758"/>
      <c r="V16" s="757"/>
      <c r="W16" s="758"/>
      <c r="X16" s="1796"/>
      <c r="Y16" s="3209"/>
      <c r="Z16" s="1797"/>
      <c r="AA16" s="1794">
        <v>1</v>
      </c>
      <c r="AB16" s="1794">
        <v>1</v>
      </c>
      <c r="AC16" s="1794">
        <v>1</v>
      </c>
    </row>
    <row r="17" spans="1:29" ht="15">
      <c r="A17" s="419"/>
      <c r="B17" s="442" t="s">
        <v>2087</v>
      </c>
      <c r="C17" s="2590">
        <f>估价对象房地状况!C6</f>
        <v>0</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207"/>
      <c r="Q17" s="1793" t="str">
        <f>B17</f>
        <v>交通便捷度</v>
      </c>
      <c r="R17" s="757" t="s">
        <v>21</v>
      </c>
      <c r="S17" s="758">
        <f>F17</f>
        <v>100</v>
      </c>
      <c r="T17" s="757" t="s">
        <v>21</v>
      </c>
      <c r="U17" s="758">
        <f>H17</f>
        <v>100</v>
      </c>
      <c r="V17" s="757" t="s">
        <v>21</v>
      </c>
      <c r="W17" s="758">
        <f>J17</f>
        <v>100</v>
      </c>
      <c r="X17" s="1796"/>
      <c r="Y17" s="3209"/>
      <c r="Z17" s="1797" t="str">
        <f>Q17</f>
        <v>交通便捷度</v>
      </c>
      <c r="AA17" s="1794">
        <f t="shared" si="3"/>
        <v>1</v>
      </c>
      <c r="AB17" s="1794">
        <f t="shared" si="4"/>
        <v>1</v>
      </c>
      <c r="AC17" s="1794">
        <f t="shared" si="5"/>
        <v>1</v>
      </c>
    </row>
    <row r="18" spans="1:29" ht="15">
      <c r="A18" s="419"/>
      <c r="B18" s="447"/>
      <c r="C18" s="2591"/>
      <c r="D18" s="441"/>
      <c r="E18" s="2592"/>
      <c r="F18" s="441"/>
      <c r="G18" s="2593"/>
      <c r="H18" s="439"/>
      <c r="I18" s="2593"/>
      <c r="J18" s="439"/>
      <c r="K18" s="2589"/>
      <c r="L18" s="1123"/>
      <c r="M18" s="1114"/>
      <c r="N18" s="1114"/>
      <c r="O18" s="1114"/>
      <c r="P18" s="3207"/>
      <c r="Q18" s="1793"/>
      <c r="R18" s="757"/>
      <c r="S18" s="758"/>
      <c r="T18" s="757"/>
      <c r="U18" s="758"/>
      <c r="V18" s="757"/>
      <c r="W18" s="758"/>
      <c r="X18" s="1796"/>
      <c r="Y18" s="3209"/>
      <c r="Z18" s="1797"/>
      <c r="AA18" s="1794">
        <v>1</v>
      </c>
      <c r="AB18" s="1794">
        <v>1</v>
      </c>
      <c r="AC18" s="1794">
        <v>1</v>
      </c>
    </row>
    <row r="19" spans="1:29" ht="15">
      <c r="A19" s="419"/>
      <c r="B19" s="442" t="s">
        <v>2086</v>
      </c>
      <c r="C19" s="2590">
        <f>估价对象房地状况!C7</f>
        <v>0</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207"/>
      <c r="Q19" s="1793" t="str">
        <f>B19</f>
        <v>公共配套设施</v>
      </c>
      <c r="R19" s="757" t="s">
        <v>21</v>
      </c>
      <c r="S19" s="758">
        <f>F19</f>
        <v>100</v>
      </c>
      <c r="T19" s="757" t="s">
        <v>21</v>
      </c>
      <c r="U19" s="758">
        <f>H19</f>
        <v>100</v>
      </c>
      <c r="V19" s="757" t="s">
        <v>21</v>
      </c>
      <c r="W19" s="758">
        <f>J19</f>
        <v>100</v>
      </c>
      <c r="X19" s="1796"/>
      <c r="Y19" s="3209"/>
      <c r="Z19" s="1797" t="str">
        <f>Q19</f>
        <v>公共配套设施</v>
      </c>
      <c r="AA19" s="1794">
        <f t="shared" si="3"/>
        <v>1</v>
      </c>
      <c r="AB19" s="1794">
        <f t="shared" si="4"/>
        <v>1</v>
      </c>
      <c r="AC19" s="1794">
        <f t="shared" si="5"/>
        <v>1</v>
      </c>
    </row>
    <row r="20" spans="1:29" ht="15">
      <c r="A20" s="419"/>
      <c r="B20" s="447"/>
      <c r="C20" s="438"/>
      <c r="D20" s="439"/>
      <c r="E20" s="2587"/>
      <c r="F20" s="439"/>
      <c r="G20" s="2588"/>
      <c r="H20" s="439"/>
      <c r="I20" s="2588"/>
      <c r="J20" s="439"/>
      <c r="K20" s="2589"/>
      <c r="L20" s="1123"/>
      <c r="M20" s="1114"/>
      <c r="N20" s="1114"/>
      <c r="O20" s="1114"/>
      <c r="P20" s="3207"/>
      <c r="Q20" s="1793"/>
      <c r="R20" s="757"/>
      <c r="S20" s="758"/>
      <c r="T20" s="757"/>
      <c r="U20" s="758"/>
      <c r="V20" s="757"/>
      <c r="W20" s="758"/>
      <c r="X20" s="1796"/>
      <c r="Y20" s="3209"/>
      <c r="Z20" s="1797"/>
      <c r="AA20" s="1794">
        <v>1</v>
      </c>
      <c r="AB20" s="1794">
        <v>1</v>
      </c>
      <c r="AC20" s="1794">
        <v>1</v>
      </c>
    </row>
    <row r="21" spans="1:29" ht="15">
      <c r="A21" s="419"/>
      <c r="B21" s="1367" t="s">
        <v>2088</v>
      </c>
      <c r="C21" s="2590">
        <f>估价对象房地状况!C8</f>
        <v>0</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207"/>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39"/>
      <c r="G22" s="2594"/>
      <c r="H22" s="439"/>
      <c r="I22" s="438"/>
      <c r="J22" s="439"/>
      <c r="K22" s="2595"/>
      <c r="L22" s="1123"/>
      <c r="M22" s="1114"/>
      <c r="N22" s="1114"/>
      <c r="O22" s="1114"/>
      <c r="P22" s="3207"/>
      <c r="Q22" s="1793"/>
      <c r="R22" s="757"/>
      <c r="S22" s="758"/>
      <c r="T22" s="757"/>
      <c r="U22" s="758"/>
      <c r="V22" s="757"/>
      <c r="W22" s="758"/>
      <c r="X22" s="1796"/>
      <c r="Y22" s="3209"/>
      <c r="Z22" s="1797"/>
      <c r="AA22" s="1794">
        <v>1</v>
      </c>
      <c r="AB22" s="1794">
        <v>1</v>
      </c>
      <c r="AC22" s="1794">
        <v>1</v>
      </c>
    </row>
    <row r="23" spans="1:29" ht="15">
      <c r="A23" s="419"/>
      <c r="B23" s="442" t="s">
        <v>2090</v>
      </c>
      <c r="C23" s="2590">
        <f>估价对象房地状况!C9</f>
        <v>0</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207"/>
      <c r="Q23" s="1793" t="str">
        <f>B23</f>
        <v>自然及人文环境</v>
      </c>
      <c r="R23" s="757" t="s">
        <v>21</v>
      </c>
      <c r="S23" s="758">
        <f>F23</f>
        <v>100</v>
      </c>
      <c r="T23" s="757" t="s">
        <v>21</v>
      </c>
      <c r="U23" s="758">
        <f>H23</f>
        <v>100</v>
      </c>
      <c r="V23" s="757" t="s">
        <v>21</v>
      </c>
      <c r="W23" s="758">
        <f>J23</f>
        <v>100</v>
      </c>
      <c r="X23" s="1796"/>
      <c r="Y23" s="3209"/>
      <c r="Z23" s="1797" t="str">
        <f>Q23</f>
        <v>自然及人文环境</v>
      </c>
      <c r="AA23" s="1794">
        <f>D23/F23</f>
        <v>1</v>
      </c>
      <c r="AB23" s="1794">
        <f>D23/H23</f>
        <v>1</v>
      </c>
      <c r="AC23" s="1794">
        <f>D23/J23</f>
        <v>1</v>
      </c>
    </row>
    <row r="24" spans="1:29" ht="15">
      <c r="A24" s="419"/>
      <c r="B24" s="447"/>
      <c r="C24" s="438"/>
      <c r="D24" s="439"/>
      <c r="E24" s="2587"/>
      <c r="F24" s="439"/>
      <c r="G24" s="2588"/>
      <c r="H24" s="439"/>
      <c r="I24" s="2588"/>
      <c r="J24" s="439"/>
      <c r="K24" s="2589"/>
      <c r="L24" s="1123"/>
      <c r="M24" s="1114"/>
      <c r="N24" s="1114"/>
      <c r="O24" s="1114"/>
      <c r="P24" s="3207"/>
      <c r="Q24" s="1793"/>
      <c r="R24" s="757"/>
      <c r="S24" s="758"/>
      <c r="T24" s="757"/>
      <c r="U24" s="758"/>
      <c r="V24" s="757"/>
      <c r="W24" s="758"/>
      <c r="X24" s="1796"/>
      <c r="Y24" s="3209"/>
      <c r="Z24" s="1797"/>
      <c r="AA24" s="1794">
        <v>1</v>
      </c>
      <c r="AB24" s="1794">
        <v>1</v>
      </c>
      <c r="AC24" s="1794">
        <v>1</v>
      </c>
    </row>
    <row r="25" spans="1:29" ht="15">
      <c r="A25" s="419"/>
      <c r="B25" s="413" t="s">
        <v>2549</v>
      </c>
      <c r="C25" s="451"/>
      <c r="D25" s="426">
        <v>100</v>
      </c>
      <c r="E25" s="2596"/>
      <c r="F25" s="426">
        <f>SUMIF(86:86,E25,87:87)-SUMIF(86:86,C25,87:87)+100</f>
        <v>100</v>
      </c>
      <c r="G25" s="2597"/>
      <c r="H25" s="426">
        <f>SUMIF(86:86,G25,87:87)-SUMIF(86:86,C25,87:87)+100</f>
        <v>100</v>
      </c>
      <c r="I25" s="2597"/>
      <c r="J25" s="426">
        <f>SUMIF(86:86,I25,87:87)-SUMIF(86:86,C25,87:87)+100</f>
        <v>100</v>
      </c>
      <c r="K25" s="417"/>
      <c r="L25" s="1123"/>
      <c r="M25" s="1114"/>
      <c r="N25" s="1114"/>
      <c r="O25" s="1114"/>
      <c r="P25" s="3207"/>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209"/>
      <c r="Z25" s="1797" t="str">
        <f>Q25</f>
        <v>楼层-1</v>
      </c>
      <c r="AA25" s="1794">
        <f t="shared" ref="AA25:AA46" si="15">D25/F25</f>
        <v>1</v>
      </c>
      <c r="AB25" s="1794">
        <f t="shared" ref="AB25:AB46" si="16">D25/H25</f>
        <v>1</v>
      </c>
      <c r="AC25" s="1794">
        <f t="shared" ref="AC25:AC46" si="17">D25/J25</f>
        <v>1</v>
      </c>
    </row>
    <row r="26" spans="1:29" ht="15">
      <c r="A26" s="419"/>
      <c r="B26" s="413" t="s">
        <v>2550</v>
      </c>
      <c r="C26" s="451"/>
      <c r="D26" s="426">
        <v>100</v>
      </c>
      <c r="E26" s="2596"/>
      <c r="F26" s="426">
        <f>SUMIF(88:88,E26,89:89)-SUMIF(88:88,C26,89:89)+100</f>
        <v>100</v>
      </c>
      <c r="G26" s="2597"/>
      <c r="H26" s="426">
        <f>SUMIF(88:88,G26,89:89)-SUMIF(88:88,C26,89:89)+100</f>
        <v>100</v>
      </c>
      <c r="I26" s="2597"/>
      <c r="J26" s="426">
        <f>SUMIF(88:88,I26,89:89)-SUMIF(88:88,C26,89:89)+100</f>
        <v>100</v>
      </c>
      <c r="K26" s="417"/>
      <c r="L26" s="1123"/>
      <c r="M26" s="1114"/>
      <c r="N26" s="1114"/>
      <c r="O26" s="1114"/>
      <c r="P26" s="3207"/>
      <c r="Q26" s="1793" t="str">
        <f t="shared" si="11"/>
        <v>朝向</v>
      </c>
      <c r="R26" s="757" t="s">
        <v>21</v>
      </c>
      <c r="S26" s="758">
        <f t="shared" si="12"/>
        <v>100</v>
      </c>
      <c r="T26" s="757" t="s">
        <v>21</v>
      </c>
      <c r="U26" s="758">
        <f t="shared" si="13"/>
        <v>100</v>
      </c>
      <c r="V26" s="757" t="s">
        <v>21</v>
      </c>
      <c r="W26" s="758">
        <f t="shared" si="14"/>
        <v>100</v>
      </c>
      <c r="X26" s="1796"/>
      <c r="Y26" s="3209"/>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4"/>
      <c r="L27" s="1115"/>
      <c r="M27" s="1116"/>
      <c r="N27" s="1116"/>
      <c r="O27" s="1116"/>
      <c r="P27" s="3207"/>
      <c r="Q27" s="1778">
        <f t="shared" si="11"/>
        <v>111</v>
      </c>
      <c r="R27" s="753" t="s">
        <v>21</v>
      </c>
      <c r="S27" s="754">
        <f t="shared" si="12"/>
        <v>100</v>
      </c>
      <c r="T27" s="753" t="s">
        <v>21</v>
      </c>
      <c r="U27" s="754">
        <f t="shared" si="13"/>
        <v>100</v>
      </c>
      <c r="V27" s="753" t="s">
        <v>21</v>
      </c>
      <c r="W27" s="754">
        <f t="shared" si="14"/>
        <v>100</v>
      </c>
      <c r="X27" s="755"/>
      <c r="Y27" s="3209"/>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8"/>
      <c r="H28" s="426">
        <f>SUMIF(92:92,G28,93:93)-SUMIF(92:92,C28,93:93)+100</f>
        <v>100</v>
      </c>
      <c r="I28" s="425"/>
      <c r="J28" s="426">
        <f>SUMIF(92:92,I28,93:93)-SUMIF(92:92,C28,93:93)+100</f>
        <v>100</v>
      </c>
      <c r="K28" s="2584"/>
      <c r="L28" s="1123"/>
      <c r="M28" s="1114"/>
      <c r="N28" s="1114"/>
      <c r="O28" s="1114"/>
      <c r="P28" s="3207"/>
      <c r="Q28" s="1793">
        <f t="shared" si="11"/>
        <v>111</v>
      </c>
      <c r="R28" s="757" t="s">
        <v>21</v>
      </c>
      <c r="S28" s="758">
        <f t="shared" si="12"/>
        <v>100</v>
      </c>
      <c r="T28" s="757" t="s">
        <v>21</v>
      </c>
      <c r="U28" s="758">
        <f t="shared" si="13"/>
        <v>100</v>
      </c>
      <c r="V28" s="757" t="s">
        <v>21</v>
      </c>
      <c r="W28" s="758">
        <f t="shared" si="14"/>
        <v>100</v>
      </c>
      <c r="X28" s="1796"/>
      <c r="Y28" s="3209"/>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8"/>
      <c r="H29" s="426">
        <f>SUMIF(94:94,G29,95:95)-SUMIF(94:94,C29,95:95)+100</f>
        <v>100</v>
      </c>
      <c r="I29" s="425"/>
      <c r="J29" s="426">
        <f>SUMIF(94:94,I29,95:95)-SUMIF(94:94,C29,95:95)+100</f>
        <v>100</v>
      </c>
      <c r="K29" s="2584"/>
      <c r="L29" s="1123"/>
      <c r="M29" s="1114"/>
      <c r="N29" s="1114"/>
      <c r="O29" s="1114"/>
      <c r="P29" s="3207"/>
      <c r="Q29" s="1793">
        <f t="shared" si="11"/>
        <v>111</v>
      </c>
      <c r="R29" s="757" t="s">
        <v>21</v>
      </c>
      <c r="S29" s="758">
        <f t="shared" si="12"/>
        <v>100</v>
      </c>
      <c r="T29" s="757" t="s">
        <v>21</v>
      </c>
      <c r="U29" s="758">
        <f t="shared" si="13"/>
        <v>100</v>
      </c>
      <c r="V29" s="757" t="s">
        <v>21</v>
      </c>
      <c r="W29" s="758">
        <f t="shared" si="14"/>
        <v>100</v>
      </c>
      <c r="X29" s="1796"/>
      <c r="Y29" s="3209"/>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8"/>
      <c r="H30" s="426">
        <f>SUMIF(96:96,G30,97:97)-SUMIF(96:96,C30,97:97)+100</f>
        <v>100</v>
      </c>
      <c r="I30" s="425"/>
      <c r="J30" s="426">
        <f>SUMIF(96:96,I30,97:97)-SUMIF(96:96,C30,97:97)+100</f>
        <v>100</v>
      </c>
      <c r="K30" s="2584"/>
      <c r="L30" s="1123"/>
      <c r="M30" s="1114"/>
      <c r="N30" s="1114"/>
      <c r="O30" s="1114"/>
      <c r="P30" s="3207"/>
      <c r="Q30" s="1793">
        <f t="shared" si="11"/>
        <v>111</v>
      </c>
      <c r="R30" s="757" t="s">
        <v>21</v>
      </c>
      <c r="S30" s="758">
        <f t="shared" si="12"/>
        <v>100</v>
      </c>
      <c r="T30" s="757" t="s">
        <v>21</v>
      </c>
      <c r="U30" s="758">
        <f t="shared" si="13"/>
        <v>100</v>
      </c>
      <c r="V30" s="757" t="s">
        <v>21</v>
      </c>
      <c r="W30" s="758">
        <f t="shared" si="14"/>
        <v>100</v>
      </c>
      <c r="X30" s="1796"/>
      <c r="Y30" s="3209"/>
      <c r="Z30" s="1797">
        <f t="shared" si="18"/>
        <v>111</v>
      </c>
      <c r="AA30" s="1794">
        <f t="shared" si="15"/>
        <v>1</v>
      </c>
      <c r="AB30" s="1794">
        <f t="shared" si="16"/>
        <v>1</v>
      </c>
      <c r="AC30" s="1794">
        <f t="shared" si="17"/>
        <v>1</v>
      </c>
    </row>
    <row r="31" spans="1:29" ht="15.75" thickBot="1">
      <c r="A31" s="427"/>
      <c r="B31" s="1369">
        <v>111</v>
      </c>
      <c r="C31" s="428"/>
      <c r="D31" s="429">
        <v>100</v>
      </c>
      <c r="E31" s="428"/>
      <c r="F31" s="429">
        <f>SUMIF(98:98,E31,99:99)-SUMIF(98:98,C31,99:99)+100</f>
        <v>100</v>
      </c>
      <c r="G31" s="2599"/>
      <c r="H31" s="429">
        <f>SUMIF(98:98,G31,99:99)-SUMIF(98:98,C31,99:99)+100</f>
        <v>100</v>
      </c>
      <c r="I31" s="428"/>
      <c r="J31" s="429">
        <f>SUMIF(98:98,I31,99:99)-SUMIF(98:98,C31,99:99)+100</f>
        <v>100</v>
      </c>
      <c r="K31" s="2584"/>
      <c r="L31" s="1123"/>
      <c r="M31" s="1114"/>
      <c r="N31" s="1114"/>
      <c r="O31" s="1114"/>
      <c r="P31" s="3207"/>
      <c r="Q31" s="1793">
        <f t="shared" si="11"/>
        <v>111</v>
      </c>
      <c r="R31" s="757" t="s">
        <v>21</v>
      </c>
      <c r="S31" s="758">
        <f t="shared" si="12"/>
        <v>100</v>
      </c>
      <c r="T31" s="757" t="s">
        <v>21</v>
      </c>
      <c r="U31" s="758">
        <f t="shared" si="13"/>
        <v>100</v>
      </c>
      <c r="V31" s="757" t="s">
        <v>21</v>
      </c>
      <c r="W31" s="758">
        <f t="shared" si="14"/>
        <v>100</v>
      </c>
      <c r="X31" s="1796"/>
      <c r="Y31" s="3209"/>
      <c r="Z31" s="1797">
        <f t="shared" si="18"/>
        <v>111</v>
      </c>
      <c r="AA31" s="1794">
        <f t="shared" si="15"/>
        <v>1</v>
      </c>
      <c r="AB31" s="1794">
        <f t="shared" si="16"/>
        <v>1</v>
      </c>
      <c r="AC31" s="1794">
        <f t="shared" si="17"/>
        <v>1</v>
      </c>
    </row>
    <row r="32" spans="1:29" ht="15">
      <c r="A32" s="431" t="s">
        <v>2551</v>
      </c>
      <c r="B32" s="70" t="s">
        <v>2552</v>
      </c>
      <c r="C32" s="2600"/>
      <c r="D32" s="458">
        <v>100</v>
      </c>
      <c r="E32" s="2601"/>
      <c r="F32" s="452">
        <f>SUMIF(100:100,E32,101:101)-SUMIF(100:100,C32,101:101)+100</f>
        <v>100</v>
      </c>
      <c r="G32" s="2600"/>
      <c r="H32" s="458">
        <f>SUMIF(100:100,G32,101:101)-SUMIF(100:100,C32,101:101)+100</f>
        <v>100</v>
      </c>
      <c r="I32" s="2601"/>
      <c r="J32" s="426">
        <f>SUMIF(100:100,I32,101:101)-SUMIF(100:100,C32,101:101)+100</f>
        <v>100</v>
      </c>
      <c r="K32" s="417"/>
      <c r="L32" s="1123"/>
      <c r="M32" s="1114"/>
      <c r="N32" s="1114"/>
      <c r="O32" s="1114"/>
      <c r="P32" s="3210" t="s">
        <v>2553</v>
      </c>
      <c r="Q32" s="1793" t="str">
        <f t="shared" si="11"/>
        <v>建筑类型</v>
      </c>
      <c r="R32" s="757" t="s">
        <v>21</v>
      </c>
      <c r="S32" s="758">
        <f t="shared" si="12"/>
        <v>100</v>
      </c>
      <c r="T32" s="757" t="s">
        <v>21</v>
      </c>
      <c r="U32" s="758">
        <f t="shared" si="13"/>
        <v>100</v>
      </c>
      <c r="V32" s="757" t="s">
        <v>21</v>
      </c>
      <c r="W32" s="758">
        <f t="shared" si="14"/>
        <v>100</v>
      </c>
      <c r="X32" s="1796"/>
      <c r="Y32" s="3213" t="s">
        <v>2553</v>
      </c>
      <c r="Z32" s="1797" t="str">
        <f t="shared" si="18"/>
        <v>建筑类型</v>
      </c>
      <c r="AA32" s="1794">
        <f t="shared" si="15"/>
        <v>1</v>
      </c>
      <c r="AB32" s="1794">
        <f t="shared" si="16"/>
        <v>1</v>
      </c>
      <c r="AC32" s="1794">
        <f t="shared" si="17"/>
        <v>1</v>
      </c>
    </row>
    <row r="33" spans="1:29" s="462" customFormat="1" ht="15">
      <c r="A33" s="459"/>
      <c r="B33" s="413" t="s">
        <v>2554</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4"/>
      <c r="L33" s="1121"/>
      <c r="M33" s="1124"/>
      <c r="N33" s="1124"/>
      <c r="O33" s="1124"/>
      <c r="P33" s="3211"/>
      <c r="Q33" s="759" t="str">
        <f t="shared" si="11"/>
        <v>项目建筑规模</v>
      </c>
      <c r="R33" s="760" t="s">
        <v>21</v>
      </c>
      <c r="S33" s="761" t="e">
        <f t="shared" si="12"/>
        <v>#N/A</v>
      </c>
      <c r="T33" s="760" t="s">
        <v>21</v>
      </c>
      <c r="U33" s="761" t="e">
        <f t="shared" si="13"/>
        <v>#N/A</v>
      </c>
      <c r="V33" s="760" t="s">
        <v>21</v>
      </c>
      <c r="W33" s="761" t="e">
        <f t="shared" si="14"/>
        <v>#N/A</v>
      </c>
      <c r="X33" s="762"/>
      <c r="Y33" s="3213"/>
      <c r="Z33" s="763" t="str">
        <f t="shared" si="18"/>
        <v>项目建筑规模</v>
      </c>
      <c r="AA33" s="1794" t="e">
        <f t="shared" si="15"/>
        <v>#N/A</v>
      </c>
      <c r="AB33" s="1794" t="e">
        <f t="shared" si="16"/>
        <v>#N/A</v>
      </c>
      <c r="AC33" s="1794" t="e">
        <f t="shared" si="17"/>
        <v>#N/A</v>
      </c>
    </row>
    <row r="34" spans="1:29" ht="15">
      <c r="A34" s="463"/>
      <c r="B34" s="413" t="s">
        <v>2555</v>
      </c>
      <c r="C34" s="2602"/>
      <c r="D34" s="426">
        <v>100</v>
      </c>
      <c r="E34" s="2603"/>
      <c r="F34" s="452">
        <f>SUMIF(105:105,E34,106:106)-SUMIF(105:105,C34,106:106)+100</f>
        <v>100</v>
      </c>
      <c r="G34" s="2602"/>
      <c r="H34" s="426">
        <f>SUMIF(105:105,G34,106:106)-SUMIF(105:105,C34,106:106)+100</f>
        <v>100</v>
      </c>
      <c r="I34" s="2603"/>
      <c r="J34" s="426">
        <f>SUMIF(105:105,I34,106:106)-SUMIF(105:105,C34,106:106)+100</f>
        <v>100</v>
      </c>
      <c r="K34" s="417"/>
      <c r="L34" s="1123"/>
      <c r="M34" s="1114"/>
      <c r="N34" s="1114"/>
      <c r="O34" s="1114"/>
      <c r="P34" s="3211"/>
      <c r="Q34" s="1793" t="str">
        <f t="shared" si="11"/>
        <v>建筑结构</v>
      </c>
      <c r="R34" s="757" t="s">
        <v>21</v>
      </c>
      <c r="S34" s="758">
        <f t="shared" si="12"/>
        <v>100</v>
      </c>
      <c r="T34" s="757" t="s">
        <v>21</v>
      </c>
      <c r="U34" s="758">
        <f t="shared" si="13"/>
        <v>100</v>
      </c>
      <c r="V34" s="757" t="s">
        <v>21</v>
      </c>
      <c r="W34" s="758">
        <f t="shared" si="14"/>
        <v>100</v>
      </c>
      <c r="X34" s="1796"/>
      <c r="Y34" s="3213"/>
      <c r="Z34" s="1797" t="str">
        <f t="shared" si="18"/>
        <v>建筑结构</v>
      </c>
      <c r="AA34" s="1794">
        <f t="shared" si="15"/>
        <v>1</v>
      </c>
      <c r="AB34" s="1794">
        <f t="shared" si="16"/>
        <v>1</v>
      </c>
      <c r="AC34" s="1794">
        <f t="shared" si="17"/>
        <v>1</v>
      </c>
    </row>
    <row r="35" spans="1:29" ht="15">
      <c r="A35" s="463"/>
      <c r="B35" s="413" t="s">
        <v>2556</v>
      </c>
      <c r="C35" s="2596"/>
      <c r="D35" s="426">
        <v>100</v>
      </c>
      <c r="E35" s="2597"/>
      <c r="F35" s="452">
        <f>SUMIF(107:107,E35,108:108)-SUMIF(107:107,C35,108:108)+100</f>
        <v>100</v>
      </c>
      <c r="G35" s="2596"/>
      <c r="H35" s="426">
        <f>SUMIF(107:107,G35,108:108)-SUMIF(107:107,C35,108:108)+100</f>
        <v>100</v>
      </c>
      <c r="I35" s="2597"/>
      <c r="J35" s="426">
        <f>SUMIF(107:107,I35,108:108)-SUMIF(107:107,C35,108:108)+100</f>
        <v>100</v>
      </c>
      <c r="K35" s="417"/>
      <c r="L35" s="1123"/>
      <c r="M35" s="1114"/>
      <c r="N35" s="1114"/>
      <c r="O35" s="1114"/>
      <c r="P35" s="3211"/>
      <c r="Q35" s="1793" t="str">
        <f t="shared" si="11"/>
        <v>建筑品质</v>
      </c>
      <c r="R35" s="757" t="s">
        <v>21</v>
      </c>
      <c r="S35" s="758">
        <f t="shared" si="12"/>
        <v>100</v>
      </c>
      <c r="T35" s="757" t="s">
        <v>21</v>
      </c>
      <c r="U35" s="758">
        <f t="shared" si="13"/>
        <v>100</v>
      </c>
      <c r="V35" s="757" t="s">
        <v>21</v>
      </c>
      <c r="W35" s="758">
        <f t="shared" si="14"/>
        <v>100</v>
      </c>
      <c r="X35" s="1796"/>
      <c r="Y35" s="3213"/>
      <c r="Z35" s="1797" t="str">
        <f t="shared" si="18"/>
        <v>建筑品质</v>
      </c>
      <c r="AA35" s="1794">
        <f t="shared" si="15"/>
        <v>1</v>
      </c>
      <c r="AB35" s="1794">
        <f t="shared" si="16"/>
        <v>1</v>
      </c>
      <c r="AC35" s="1794">
        <f t="shared" si="17"/>
        <v>1</v>
      </c>
    </row>
    <row r="36" spans="1:29" ht="15">
      <c r="A36" s="463"/>
      <c r="B36" s="413" t="s">
        <v>2557</v>
      </c>
      <c r="C36" s="2596"/>
      <c r="D36" s="426">
        <v>100</v>
      </c>
      <c r="E36" s="2597"/>
      <c r="F36" s="452">
        <f>SUMIF(109:109,E36,110:110)-SUMIF(109:109,C36,110:110)+100</f>
        <v>100</v>
      </c>
      <c r="G36" s="2596"/>
      <c r="H36" s="426">
        <f>SUMIF(109:109,G36,110:110)-SUMIF(109:109,C36,110:110)+100</f>
        <v>100</v>
      </c>
      <c r="I36" s="2597"/>
      <c r="J36" s="426">
        <f>SUMIF(109:109,I36,110:110)-SUMIF(109:109,C36,110:110)+100</f>
        <v>100</v>
      </c>
      <c r="K36" s="417"/>
      <c r="L36" s="1123"/>
      <c r="M36" s="1114"/>
      <c r="N36" s="1114"/>
      <c r="O36" s="1114"/>
      <c r="P36" s="3211"/>
      <c r="Q36" s="1793" t="str">
        <f t="shared" si="11"/>
        <v>公共部分装修</v>
      </c>
      <c r="R36" s="757" t="s">
        <v>21</v>
      </c>
      <c r="S36" s="758">
        <f t="shared" si="12"/>
        <v>100</v>
      </c>
      <c r="T36" s="757" t="s">
        <v>21</v>
      </c>
      <c r="U36" s="758">
        <f t="shared" si="13"/>
        <v>100</v>
      </c>
      <c r="V36" s="757" t="s">
        <v>21</v>
      </c>
      <c r="W36" s="758">
        <f t="shared" si="14"/>
        <v>100</v>
      </c>
      <c r="X36" s="1796"/>
      <c r="Y36" s="3213"/>
      <c r="Z36" s="1797" t="str">
        <f t="shared" si="18"/>
        <v>公共部分装修</v>
      </c>
      <c r="AA36" s="1794">
        <f t="shared" si="15"/>
        <v>1</v>
      </c>
      <c r="AB36" s="1794">
        <f t="shared" si="16"/>
        <v>1</v>
      </c>
      <c r="AC36" s="1794">
        <f t="shared" si="17"/>
        <v>1</v>
      </c>
    </row>
    <row r="37" spans="1:29" s="113" customFormat="1" ht="15">
      <c r="A37" s="464"/>
      <c r="B37" s="413" t="s">
        <v>2558</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211"/>
      <c r="Q37" s="1778" t="str">
        <f t="shared" si="11"/>
        <v>成新度</v>
      </c>
      <c r="R37" s="753" t="s">
        <v>21</v>
      </c>
      <c r="S37" s="754" t="e">
        <f t="shared" si="12"/>
        <v>#N/A</v>
      </c>
      <c r="T37" s="753" t="s">
        <v>21</v>
      </c>
      <c r="U37" s="754" t="e">
        <f t="shared" si="13"/>
        <v>#N/A</v>
      </c>
      <c r="V37" s="753" t="s">
        <v>21</v>
      </c>
      <c r="W37" s="754" t="e">
        <f t="shared" si="14"/>
        <v>#N/A</v>
      </c>
      <c r="X37" s="755"/>
      <c r="Y37" s="3213"/>
      <c r="Z37" s="55" t="str">
        <f t="shared" si="18"/>
        <v>成新度</v>
      </c>
      <c r="AA37" s="756" t="e">
        <f t="shared" si="15"/>
        <v>#N/A</v>
      </c>
      <c r="AB37" s="756" t="e">
        <f t="shared" si="16"/>
        <v>#N/A</v>
      </c>
      <c r="AC37" s="756" t="e">
        <f t="shared" si="17"/>
        <v>#N/A</v>
      </c>
    </row>
    <row r="38" spans="1:29" ht="15">
      <c r="A38" s="463"/>
      <c r="B38" s="413" t="s">
        <v>2559</v>
      </c>
      <c r="C38" s="2596"/>
      <c r="D38" s="426">
        <v>100</v>
      </c>
      <c r="E38" s="2597"/>
      <c r="F38" s="452">
        <f>SUMIF(114:114,E38,115:115)-SUMIF(114:114,C38,115:115)+100</f>
        <v>100</v>
      </c>
      <c r="G38" s="2596"/>
      <c r="H38" s="426">
        <f>SUMIF(114:114,G38,115:115)-SUMIF(114:114,C38,115:115)+100</f>
        <v>100</v>
      </c>
      <c r="I38" s="2597"/>
      <c r="J38" s="426">
        <f>SUMIF(114:114,I38,115:115)-SUMIF(114:114,C38,115:115)+100</f>
        <v>100</v>
      </c>
      <c r="K38" s="417"/>
      <c r="L38" s="1123"/>
      <c r="M38" s="1114"/>
      <c r="N38" s="1114"/>
      <c r="O38" s="1114"/>
      <c r="P38" s="3211" t="s">
        <v>2553</v>
      </c>
      <c r="Q38" s="1793" t="str">
        <f t="shared" si="11"/>
        <v>物业管理</v>
      </c>
      <c r="R38" s="757" t="s">
        <v>21</v>
      </c>
      <c r="S38" s="758">
        <f t="shared" si="12"/>
        <v>100</v>
      </c>
      <c r="T38" s="757" t="s">
        <v>21</v>
      </c>
      <c r="U38" s="758">
        <f t="shared" si="13"/>
        <v>100</v>
      </c>
      <c r="V38" s="757" t="s">
        <v>21</v>
      </c>
      <c r="W38" s="758">
        <f t="shared" si="14"/>
        <v>100</v>
      </c>
      <c r="X38" s="1796"/>
      <c r="Y38" s="3213" t="s">
        <v>2553</v>
      </c>
      <c r="Z38" s="1797" t="str">
        <f t="shared" si="18"/>
        <v>物业管理</v>
      </c>
      <c r="AA38" s="1794">
        <f t="shared" si="15"/>
        <v>1</v>
      </c>
      <c r="AB38" s="1794">
        <f t="shared" si="16"/>
        <v>1</v>
      </c>
      <c r="AC38" s="1794">
        <f t="shared" si="17"/>
        <v>1</v>
      </c>
    </row>
    <row r="39" spans="1:29" ht="15">
      <c r="A39" s="463"/>
      <c r="B39" s="413" t="s">
        <v>2560</v>
      </c>
      <c r="C39" s="2596"/>
      <c r="D39" s="426">
        <v>100</v>
      </c>
      <c r="E39" s="2597"/>
      <c r="F39" s="452">
        <f>SUMIF(116:116,E39,117:117)-SUMIF(116:116,C39,117:117)+100</f>
        <v>100</v>
      </c>
      <c r="G39" s="2596"/>
      <c r="H39" s="426">
        <f>SUMIF(116:116,G39,117:117)-SUMIF(116:116,C39,117:117)+100</f>
        <v>100</v>
      </c>
      <c r="I39" s="2597"/>
      <c r="J39" s="426">
        <f>SUMIF(116:116,I39,117:117)-SUMIF(116:116,C39,117:117)+100</f>
        <v>100</v>
      </c>
      <c r="K39" s="417"/>
      <c r="L39" s="1123"/>
      <c r="M39" s="1114"/>
      <c r="N39" s="1114"/>
      <c r="O39" s="1114"/>
      <c r="P39" s="3211"/>
      <c r="Q39" s="1793" t="str">
        <f t="shared" si="11"/>
        <v>市政基础设施</v>
      </c>
      <c r="R39" s="757" t="s">
        <v>21</v>
      </c>
      <c r="S39" s="758">
        <f t="shared" si="12"/>
        <v>100</v>
      </c>
      <c r="T39" s="757" t="s">
        <v>21</v>
      </c>
      <c r="U39" s="758">
        <f t="shared" si="13"/>
        <v>100</v>
      </c>
      <c r="V39" s="757" t="s">
        <v>21</v>
      </c>
      <c r="W39" s="758">
        <f t="shared" si="14"/>
        <v>100</v>
      </c>
      <c r="X39" s="1796"/>
      <c r="Y39" s="3213"/>
      <c r="Z39" s="1797" t="str">
        <f t="shared" si="18"/>
        <v>市政基础设施</v>
      </c>
      <c r="AA39" s="1794">
        <f t="shared" si="15"/>
        <v>1</v>
      </c>
      <c r="AB39" s="1794">
        <f t="shared" si="16"/>
        <v>1</v>
      </c>
      <c r="AC39" s="1794">
        <f t="shared" si="17"/>
        <v>1</v>
      </c>
    </row>
    <row r="40" spans="1:29" ht="15">
      <c r="A40" s="463"/>
      <c r="B40" s="413" t="s">
        <v>2561</v>
      </c>
      <c r="C40" s="2596"/>
      <c r="D40" s="426">
        <v>100</v>
      </c>
      <c r="E40" s="2597"/>
      <c r="F40" s="452">
        <f>SUMIF(118:118,E40,119:119)-SUMIF(118:118,C40,119:119)+100</f>
        <v>100</v>
      </c>
      <c r="G40" s="2596"/>
      <c r="H40" s="426">
        <f>SUMIF(118:118,G40,119:119)-SUMIF(118:118,C40,119:119)+100</f>
        <v>100</v>
      </c>
      <c r="I40" s="2597"/>
      <c r="J40" s="426">
        <f>SUMIF(118:118,I40,119:119)-SUMIF(118:118,C40,119:119)+100</f>
        <v>100</v>
      </c>
      <c r="K40" s="417"/>
      <c r="L40" s="1123"/>
      <c r="M40" s="1114"/>
      <c r="N40" s="1114"/>
      <c r="O40" s="1114"/>
      <c r="P40" s="3211"/>
      <c r="Q40" s="1793" t="str">
        <f t="shared" si="11"/>
        <v>房型</v>
      </c>
      <c r="R40" s="757" t="s">
        <v>21</v>
      </c>
      <c r="S40" s="758">
        <f t="shared" si="12"/>
        <v>100</v>
      </c>
      <c r="T40" s="757" t="s">
        <v>21</v>
      </c>
      <c r="U40" s="758">
        <f t="shared" si="13"/>
        <v>100</v>
      </c>
      <c r="V40" s="757" t="s">
        <v>21</v>
      </c>
      <c r="W40" s="758">
        <f t="shared" si="14"/>
        <v>100</v>
      </c>
      <c r="X40" s="1796"/>
      <c r="Y40" s="3213"/>
      <c r="Z40" s="1797" t="str">
        <f t="shared" si="18"/>
        <v>房型</v>
      </c>
      <c r="AA40" s="1794">
        <f t="shared" si="15"/>
        <v>1</v>
      </c>
      <c r="AB40" s="1794">
        <f t="shared" si="16"/>
        <v>1</v>
      </c>
      <c r="AC40" s="1794">
        <f t="shared" si="17"/>
        <v>1</v>
      </c>
    </row>
    <row r="41" spans="1:29" s="462" customFormat="1" ht="28.5">
      <c r="A41" s="459"/>
      <c r="B41" s="413" t="s">
        <v>2562</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4"/>
      <c r="L41" s="1121"/>
      <c r="M41" s="1124"/>
      <c r="N41" s="1124"/>
      <c r="O41" s="1124"/>
      <c r="P41" s="3211"/>
      <c r="Q41" s="759" t="str">
        <f t="shared" si="11"/>
        <v>单套/主力户型建筑面积</v>
      </c>
      <c r="R41" s="760" t="s">
        <v>21</v>
      </c>
      <c r="S41" s="761">
        <f t="shared" si="12"/>
        <v>100</v>
      </c>
      <c r="T41" s="760" t="s">
        <v>21</v>
      </c>
      <c r="U41" s="761">
        <f t="shared" si="13"/>
        <v>100</v>
      </c>
      <c r="V41" s="760" t="s">
        <v>21</v>
      </c>
      <c r="W41" s="761">
        <f t="shared" si="14"/>
        <v>100</v>
      </c>
      <c r="X41" s="762"/>
      <c r="Y41" s="3213"/>
      <c r="Z41" s="763" t="str">
        <f t="shared" si="18"/>
        <v>单套/主力户型建筑面积</v>
      </c>
      <c r="AA41" s="1794">
        <f t="shared" si="15"/>
        <v>1</v>
      </c>
      <c r="AB41" s="1794">
        <f t="shared" si="16"/>
        <v>1</v>
      </c>
      <c r="AC41" s="1794">
        <f t="shared" si="17"/>
        <v>1</v>
      </c>
    </row>
    <row r="42" spans="1:29" ht="15">
      <c r="A42" s="463"/>
      <c r="B42" s="413" t="s">
        <v>2563</v>
      </c>
      <c r="C42" s="2596"/>
      <c r="D42" s="426">
        <v>100</v>
      </c>
      <c r="E42" s="2597"/>
      <c r="F42" s="452">
        <f>SUMIF(122:122,E42,123:123)-SUMIF(122:122,C42,123:123)+100</f>
        <v>100</v>
      </c>
      <c r="G42" s="2596"/>
      <c r="H42" s="426">
        <f>SUMIF(122:122,G42,123:123)-SUMIF(122:122,C42,123:123)+100</f>
        <v>100</v>
      </c>
      <c r="I42" s="2597"/>
      <c r="J42" s="426">
        <f>SUMIF(122:122,I42,123:123)-SUMIF(122:122,C42,123:123)+100</f>
        <v>100</v>
      </c>
      <c r="K42" s="417"/>
      <c r="L42" s="1123"/>
      <c r="M42" s="1114"/>
      <c r="N42" s="1114"/>
      <c r="O42" s="1114"/>
      <c r="P42" s="3211"/>
      <c r="Q42" s="1793" t="str">
        <f t="shared" si="11"/>
        <v>内部装修</v>
      </c>
      <c r="R42" s="757" t="s">
        <v>21</v>
      </c>
      <c r="S42" s="758">
        <f t="shared" si="12"/>
        <v>100</v>
      </c>
      <c r="T42" s="757" t="s">
        <v>21</v>
      </c>
      <c r="U42" s="758">
        <f t="shared" si="13"/>
        <v>100</v>
      </c>
      <c r="V42" s="757" t="s">
        <v>21</v>
      </c>
      <c r="W42" s="758">
        <f t="shared" si="14"/>
        <v>100</v>
      </c>
      <c r="X42" s="1796"/>
      <c r="Y42" s="3213"/>
      <c r="Z42" s="1797" t="str">
        <f t="shared" si="18"/>
        <v>内部装修</v>
      </c>
      <c r="AA42" s="1794">
        <f t="shared" si="15"/>
        <v>1</v>
      </c>
      <c r="AB42" s="1794">
        <f t="shared" si="16"/>
        <v>1</v>
      </c>
      <c r="AC42" s="1794">
        <f t="shared" si="17"/>
        <v>1</v>
      </c>
    </row>
    <row r="43" spans="1:29" ht="15">
      <c r="A43" s="463"/>
      <c r="B43" s="413" t="s">
        <v>2564</v>
      </c>
      <c r="C43" s="2596"/>
      <c r="D43" s="426">
        <v>100</v>
      </c>
      <c r="E43" s="2597"/>
      <c r="F43" s="452">
        <f>SUMIF(124:124,E43,125:125)-SUMIF(124:124,C43,125:125)+100</f>
        <v>100</v>
      </c>
      <c r="G43" s="2596"/>
      <c r="H43" s="426">
        <f>SUMIF(124:124,G43,125:125)-SUMIF(124:124,C43,125:125)+100</f>
        <v>100</v>
      </c>
      <c r="I43" s="2597"/>
      <c r="J43" s="426">
        <f>SUMIF(124:124,I43,125:125)-SUMIF(124:124,C43,125:125)+100</f>
        <v>100</v>
      </c>
      <c r="K43" s="417"/>
      <c r="L43" s="1123"/>
      <c r="M43" s="1114"/>
      <c r="N43" s="1114"/>
      <c r="O43" s="1114"/>
      <c r="P43" s="3211"/>
      <c r="Q43" s="1793" t="str">
        <f t="shared" si="11"/>
        <v>内部装修维护情况</v>
      </c>
      <c r="R43" s="757" t="s">
        <v>21</v>
      </c>
      <c r="S43" s="758">
        <f t="shared" si="12"/>
        <v>100</v>
      </c>
      <c r="T43" s="757" t="s">
        <v>21</v>
      </c>
      <c r="U43" s="758">
        <f t="shared" si="13"/>
        <v>100</v>
      </c>
      <c r="V43" s="757" t="s">
        <v>21</v>
      </c>
      <c r="W43" s="758">
        <f t="shared" si="14"/>
        <v>100</v>
      </c>
      <c r="X43" s="1796"/>
      <c r="Y43" s="3213"/>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4"/>
      <c r="L44" s="1115"/>
      <c r="M44" s="1116"/>
      <c r="N44" s="1116"/>
      <c r="O44" s="1116"/>
      <c r="P44" s="3211"/>
      <c r="Q44" s="1778">
        <f t="shared" si="11"/>
        <v>111</v>
      </c>
      <c r="R44" s="753" t="s">
        <v>21</v>
      </c>
      <c r="S44" s="754">
        <f t="shared" si="12"/>
        <v>100</v>
      </c>
      <c r="T44" s="753" t="s">
        <v>21</v>
      </c>
      <c r="U44" s="754">
        <f t="shared" si="13"/>
        <v>100</v>
      </c>
      <c r="V44" s="753" t="s">
        <v>21</v>
      </c>
      <c r="W44" s="754">
        <f t="shared" si="14"/>
        <v>100</v>
      </c>
      <c r="X44" s="755"/>
      <c r="Y44" s="3213"/>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4"/>
      <c r="L45" s="1123"/>
      <c r="M45" s="1114"/>
      <c r="N45" s="1114"/>
      <c r="O45" s="1114"/>
      <c r="P45" s="3211"/>
      <c r="Q45" s="1793">
        <f t="shared" si="11"/>
        <v>111</v>
      </c>
      <c r="R45" s="757" t="s">
        <v>21</v>
      </c>
      <c r="S45" s="758">
        <f t="shared" si="12"/>
        <v>100</v>
      </c>
      <c r="T45" s="757" t="s">
        <v>21</v>
      </c>
      <c r="U45" s="758">
        <f t="shared" si="13"/>
        <v>100</v>
      </c>
      <c r="V45" s="757" t="s">
        <v>21</v>
      </c>
      <c r="W45" s="758">
        <f t="shared" si="14"/>
        <v>100</v>
      </c>
      <c r="X45" s="1796"/>
      <c r="Y45" s="3213"/>
      <c r="Z45" s="1797">
        <f t="shared" si="18"/>
        <v>111</v>
      </c>
      <c r="AA45" s="1794">
        <f t="shared" si="15"/>
        <v>1</v>
      </c>
      <c r="AB45" s="1794">
        <f t="shared" si="16"/>
        <v>1</v>
      </c>
      <c r="AC45" s="1794">
        <f t="shared" si="17"/>
        <v>1</v>
      </c>
    </row>
    <row r="46" spans="1:29" ht="15.75" thickBot="1">
      <c r="A46" s="469"/>
      <c r="B46" s="2585">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4"/>
      <c r="L46" s="1123"/>
      <c r="M46" s="1114"/>
      <c r="N46" s="1114"/>
      <c r="O46" s="1114"/>
      <c r="P46" s="3212"/>
      <c r="Q46" s="1793">
        <f t="shared" si="11"/>
        <v>111</v>
      </c>
      <c r="R46" s="757" t="s">
        <v>20</v>
      </c>
      <c r="S46" s="758">
        <f t="shared" si="12"/>
        <v>100</v>
      </c>
      <c r="T46" s="757" t="s">
        <v>20</v>
      </c>
      <c r="U46" s="758">
        <f t="shared" si="13"/>
        <v>100</v>
      </c>
      <c r="V46" s="757" t="s">
        <v>20</v>
      </c>
      <c r="W46" s="758">
        <f t="shared" si="14"/>
        <v>100</v>
      </c>
      <c r="X46" s="1796"/>
      <c r="Y46" s="3214"/>
      <c r="Z46" s="1797">
        <f t="shared" si="18"/>
        <v>111</v>
      </c>
      <c r="AA46" s="1794">
        <f t="shared" si="15"/>
        <v>1</v>
      </c>
      <c r="AB46" s="1794">
        <f t="shared" si="16"/>
        <v>1</v>
      </c>
      <c r="AC46" s="1794">
        <f t="shared" si="17"/>
        <v>1</v>
      </c>
    </row>
    <row r="47" spans="1:29" ht="15">
      <c r="A47" s="470" t="s">
        <v>2565</v>
      </c>
      <c r="B47" s="471"/>
      <c r="C47" s="1390" t="s">
        <v>19</v>
      </c>
      <c r="D47" s="1391"/>
      <c r="E47" s="1392"/>
      <c r="F47" s="1393"/>
      <c r="G47" s="1394"/>
      <c r="H47" s="1395"/>
      <c r="I47" s="1392"/>
      <c r="J47" s="1395"/>
      <c r="K47" s="2604"/>
      <c r="L47" s="1126"/>
      <c r="M47" s="1127"/>
      <c r="N47" s="1114"/>
      <c r="O47" s="1127"/>
      <c r="P47" s="3201" t="str">
        <f>A47</f>
        <v>成交单价（元/平方米）</v>
      </c>
      <c r="Q47" s="3201"/>
      <c r="R47" s="3202">
        <f>E47</f>
        <v>0</v>
      </c>
      <c r="S47" s="3202"/>
      <c r="T47" s="3202">
        <f>G47</f>
        <v>0</v>
      </c>
      <c r="U47" s="3202"/>
      <c r="V47" s="3202">
        <f>I47</f>
        <v>0</v>
      </c>
      <c r="W47" s="3202"/>
      <c r="X47" s="742"/>
      <c r="Y47" s="764"/>
      <c r="Z47" s="742"/>
      <c r="AA47" s="742"/>
      <c r="AB47" s="742"/>
      <c r="AC47" s="742"/>
    </row>
    <row r="48" spans="1:29" ht="15.75" thickBot="1">
      <c r="A48" s="477" t="s">
        <v>2566</v>
      </c>
      <c r="B48" s="478"/>
      <c r="C48" s="1396" t="e">
        <f>R49</f>
        <v>#DIV/0!</v>
      </c>
      <c r="D48" s="1397"/>
      <c r="E48" s="1398" t="e">
        <f>R48</f>
        <v>#DIV/0!</v>
      </c>
      <c r="F48" s="1398"/>
      <c r="G48" s="1396" t="e">
        <f>T48</f>
        <v>#DIV/0!</v>
      </c>
      <c r="H48" s="1397"/>
      <c r="I48" s="1398" t="e">
        <f>V48</f>
        <v>#DIV/0!</v>
      </c>
      <c r="J48" s="1397"/>
      <c r="K48" s="2605"/>
      <c r="L48" s="1126"/>
      <c r="M48" s="1127"/>
      <c r="N48" s="1127"/>
      <c r="O48" s="112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42"/>
      <c r="Y48" s="742"/>
      <c r="Z48" s="742"/>
      <c r="AA48" s="742"/>
      <c r="AB48" s="742"/>
      <c r="AC48" s="742"/>
    </row>
    <row r="49" spans="1:29" ht="15.75" thickBot="1">
      <c r="A49" s="483" t="s">
        <v>2567</v>
      </c>
      <c r="B49" s="484"/>
      <c r="C49" s="1399" t="e">
        <f>R49</f>
        <v>#DIV/0!</v>
      </c>
      <c r="D49" s="1400"/>
      <c r="E49" s="1400"/>
      <c r="F49" s="1400"/>
      <c r="G49" s="1400"/>
      <c r="H49" s="1400"/>
      <c r="I49" s="1400"/>
      <c r="J49" s="1400"/>
      <c r="K49" s="2606"/>
      <c r="L49" s="1126"/>
      <c r="M49" s="1127"/>
      <c r="N49" s="1127"/>
      <c r="O49" s="1127"/>
      <c r="P49" s="3203" t="str">
        <f>A49</f>
        <v>估价对象XX用房的比较价值（楼面单价，元/平方米）</v>
      </c>
      <c r="Q49" s="3204"/>
      <c r="R49" s="3205" t="e">
        <f>IF(F1="售价",ROUND(AVERAGE(R48:V48),0),ROUND(AVERAGE(R48:V48),1))</f>
        <v>#DIV/0!</v>
      </c>
      <c r="S49" s="3205"/>
      <c r="T49" s="3205"/>
      <c r="U49" s="3205"/>
      <c r="V49" s="3205"/>
      <c r="W49" s="3205"/>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2568</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2569</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2570</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8"/>
    </row>
    <row r="55" spans="1:29" s="493" customFormat="1">
      <c r="A55" s="1128"/>
      <c r="B55" s="1129"/>
      <c r="C55" s="1133"/>
      <c r="D55" s="1128"/>
      <c r="E55" s="1128"/>
      <c r="F55" s="1128"/>
      <c r="G55" s="1128"/>
      <c r="H55" s="1128"/>
      <c r="I55" s="1128"/>
      <c r="J55" s="1128"/>
      <c r="K55" s="1131"/>
      <c r="L55" s="1132"/>
      <c r="M55" s="1128"/>
      <c r="N55" s="1128"/>
      <c r="O55" s="1128"/>
      <c r="P55" s="2608"/>
    </row>
    <row r="56" spans="1:29">
      <c r="A56" s="1127"/>
      <c r="B56" s="1129"/>
      <c r="C56" s="1133"/>
      <c r="D56" s="1127"/>
      <c r="E56" s="1127"/>
      <c r="F56" s="1127"/>
      <c r="G56" s="1127"/>
      <c r="H56" s="1127"/>
      <c r="I56" s="1127"/>
      <c r="J56" s="1127"/>
      <c r="K56" s="1088"/>
      <c r="L56" s="1089"/>
      <c r="M56" s="1127"/>
      <c r="N56" s="1127"/>
      <c r="O56" s="1127"/>
    </row>
    <row r="57" spans="1:29" ht="21.75" thickBot="1">
      <c r="A57" s="746" t="s">
        <v>2571</v>
      </c>
      <c r="B57" s="742"/>
      <c r="C57" s="747"/>
      <c r="D57" s="747"/>
      <c r="E57" s="747"/>
      <c r="F57" s="748"/>
      <c r="G57" s="748"/>
      <c r="H57" s="747"/>
      <c r="I57" s="747"/>
      <c r="J57" s="747"/>
      <c r="K57" s="1143"/>
      <c r="L57" s="1144"/>
      <c r="M57" s="1142"/>
      <c r="N57" s="1142"/>
      <c r="O57" s="1142"/>
      <c r="P57" s="2609"/>
      <c r="Q57" s="495"/>
    </row>
    <row r="58" spans="1:29" s="499" customFormat="1" ht="15">
      <c r="A58" s="496" t="s">
        <v>2572</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ht="15">
      <c r="A59" s="500"/>
      <c r="B59" s="2610"/>
      <c r="C59" s="1556">
        <v>100</v>
      </c>
      <c r="D59" s="502"/>
      <c r="E59" s="503"/>
      <c r="F59" s="503"/>
      <c r="G59" s="503"/>
      <c r="H59" s="503"/>
      <c r="I59" s="503"/>
      <c r="J59" s="503"/>
      <c r="K59" s="503"/>
      <c r="L59" s="503"/>
      <c r="M59" s="504"/>
      <c r="N59" s="503"/>
      <c r="O59" s="504"/>
      <c r="P59" s="2611"/>
    </row>
    <row r="60" spans="1:29" s="113" customFormat="1" ht="15.75" thickBot="1">
      <c r="A60" s="506" t="s">
        <v>2573</v>
      </c>
      <c r="B60" s="507"/>
      <c r="C60" s="508"/>
      <c r="D60" s="509"/>
      <c r="E60" s="509"/>
      <c r="F60" s="509"/>
      <c r="G60" s="509"/>
      <c r="H60" s="509"/>
      <c r="I60" s="509"/>
      <c r="J60" s="509"/>
      <c r="K60" s="509"/>
      <c r="L60" s="509"/>
      <c r="M60" s="510"/>
      <c r="N60" s="509"/>
      <c r="O60" s="510"/>
      <c r="P60" s="2611"/>
      <c r="Q60" s="495"/>
    </row>
    <row r="61" spans="1:29" s="113" customFormat="1" ht="15">
      <c r="A61" s="512" t="s">
        <v>2574</v>
      </c>
      <c r="B61" s="501"/>
      <c r="C61" s="513" t="s">
        <v>2575</v>
      </c>
      <c r="D61" s="514"/>
      <c r="E61" s="514"/>
      <c r="F61" s="514"/>
      <c r="G61" s="514"/>
      <c r="H61" s="514"/>
      <c r="I61" s="514"/>
      <c r="J61" s="514"/>
      <c r="K61" s="514"/>
      <c r="L61" s="515"/>
      <c r="M61" s="516"/>
      <c r="N61" s="1134"/>
      <c r="O61" s="1134"/>
      <c r="P61" s="2612"/>
      <c r="Q61" s="495"/>
    </row>
    <row r="62" spans="1:29" s="113" customFormat="1" ht="15.75" thickBot="1">
      <c r="A62" s="512"/>
      <c r="B62" s="501"/>
      <c r="C62" s="502">
        <v>100</v>
      </c>
      <c r="D62" s="503"/>
      <c r="E62" s="503"/>
      <c r="F62" s="503"/>
      <c r="G62" s="503"/>
      <c r="H62" s="503"/>
      <c r="I62" s="503"/>
      <c r="J62" s="503"/>
      <c r="K62" s="503"/>
      <c r="L62" s="503"/>
      <c r="M62" s="505"/>
      <c r="N62" s="1134"/>
      <c r="O62" s="1134"/>
      <c r="P62" s="2611"/>
      <c r="Q62" s="495"/>
    </row>
    <row r="63" spans="1:29">
      <c r="A63" s="518" t="s">
        <v>2576</v>
      </c>
      <c r="B63" s="519" t="s">
        <v>2542</v>
      </c>
      <c r="C63" s="520">
        <f>C9</f>
        <v>0</v>
      </c>
      <c r="D63" s="521"/>
      <c r="E63" s="521"/>
      <c r="F63" s="521"/>
      <c r="G63" s="521"/>
      <c r="H63" s="521"/>
      <c r="I63" s="521"/>
      <c r="J63" s="521"/>
      <c r="K63" s="522"/>
      <c r="L63" s="523"/>
      <c r="M63" s="524"/>
      <c r="N63" s="1135"/>
      <c r="O63" s="1135"/>
      <c r="P63" s="2613"/>
      <c r="Q63" s="495"/>
    </row>
    <row r="64" spans="1:29" ht="15.75" thickBot="1">
      <c r="A64" s="525"/>
      <c r="B64" s="526"/>
      <c r="C64" s="527">
        <v>100</v>
      </c>
      <c r="D64" s="527"/>
      <c r="E64" s="527"/>
      <c r="F64" s="527"/>
      <c r="G64" s="527"/>
      <c r="H64" s="527"/>
      <c r="I64" s="527"/>
      <c r="J64" s="527"/>
      <c r="K64" s="527"/>
      <c r="L64" s="527"/>
      <c r="M64" s="528"/>
      <c r="N64" s="1136"/>
      <c r="O64" s="1136"/>
      <c r="P64" s="2613"/>
      <c r="Q64" s="495"/>
    </row>
    <row r="65" spans="1:17" ht="27.75"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3"/>
      <c r="Q66" s="495"/>
    </row>
    <row r="67" spans="1:17" ht="15.75" thickTop="1">
      <c r="A67" s="525"/>
      <c r="B67" s="537" t="s">
        <v>2546</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3"/>
      <c r="Q67" s="495"/>
    </row>
    <row r="68" spans="1:17" ht="15">
      <c r="A68" s="525"/>
      <c r="B68" s="539"/>
      <c r="C68" s="540"/>
      <c r="D68" s="540"/>
      <c r="E68" s="540"/>
      <c r="F68" s="540"/>
      <c r="G68" s="540"/>
      <c r="H68" s="540"/>
      <c r="I68" s="540"/>
      <c r="J68" s="540"/>
      <c r="K68" s="541"/>
      <c r="L68" s="542"/>
      <c r="M68" s="543"/>
      <c r="N68" s="1135"/>
      <c r="O68" s="1135"/>
      <c r="P68" s="2613"/>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3"/>
      <c r="Q69" s="495"/>
    </row>
    <row r="70" spans="1:17" s="462" customFormat="1" ht="15.75" thickTop="1">
      <c r="A70" s="544"/>
      <c r="B70" s="529">
        <f>B12</f>
        <v>111</v>
      </c>
      <c r="C70" s="545"/>
      <c r="D70" s="545"/>
      <c r="E70" s="545"/>
      <c r="F70" s="545"/>
      <c r="G70" s="545"/>
      <c r="H70" s="546"/>
      <c r="I70" s="546"/>
      <c r="J70" s="546"/>
      <c r="K70" s="546"/>
      <c r="L70" s="547"/>
      <c r="M70" s="548"/>
      <c r="N70" s="1137"/>
      <c r="O70" s="1137"/>
      <c r="P70" s="2614"/>
      <c r="Q70" s="550"/>
    </row>
    <row r="71" spans="1:17" s="462" customFormat="1" ht="15.75" thickBot="1">
      <c r="A71" s="544"/>
      <c r="B71" s="534"/>
      <c r="C71" s="551"/>
      <c r="D71" s="527"/>
      <c r="E71" s="527"/>
      <c r="F71" s="527"/>
      <c r="G71" s="527"/>
      <c r="H71" s="527"/>
      <c r="I71" s="527"/>
      <c r="J71" s="527"/>
      <c r="K71" s="527"/>
      <c r="L71" s="527"/>
      <c r="M71" s="528"/>
      <c r="N71" s="1136"/>
      <c r="O71" s="1136"/>
      <c r="P71" s="2614"/>
      <c r="Q71" s="550"/>
    </row>
    <row r="72" spans="1:17" s="462" customFormat="1" ht="15.75" thickTop="1">
      <c r="A72" s="544"/>
      <c r="B72" s="529">
        <f>B13</f>
        <v>111</v>
      </c>
      <c r="C72" s="545"/>
      <c r="D72" s="545"/>
      <c r="E72" s="545"/>
      <c r="F72" s="545"/>
      <c r="G72" s="545"/>
      <c r="H72" s="546"/>
      <c r="I72" s="546"/>
      <c r="J72" s="546"/>
      <c r="K72" s="546"/>
      <c r="L72" s="547"/>
      <c r="M72" s="548"/>
      <c r="N72" s="1137"/>
      <c r="O72" s="1137"/>
      <c r="P72" s="2615"/>
      <c r="Q72" s="552"/>
    </row>
    <row r="73" spans="1:17" s="462" customFormat="1" ht="15.75" thickBot="1">
      <c r="A73" s="544"/>
      <c r="B73" s="534"/>
      <c r="C73" s="551"/>
      <c r="D73" s="551"/>
      <c r="E73" s="551"/>
      <c r="F73" s="551"/>
      <c r="G73" s="551"/>
      <c r="H73" s="553"/>
      <c r="I73" s="553"/>
      <c r="J73" s="553"/>
      <c r="K73" s="553"/>
      <c r="L73" s="553"/>
      <c r="M73" s="554"/>
      <c r="N73" s="1137"/>
      <c r="O73" s="1137"/>
      <c r="P73" s="2614"/>
      <c r="Q73" s="550"/>
    </row>
    <row r="74" spans="1:17" s="462" customFormat="1" ht="15.75" thickTop="1">
      <c r="A74" s="544"/>
      <c r="B74" s="537">
        <f>B14</f>
        <v>111</v>
      </c>
      <c r="C74" s="545"/>
      <c r="D74" s="545"/>
      <c r="E74" s="545"/>
      <c r="F74" s="545"/>
      <c r="G74" s="514"/>
      <c r="H74" s="555"/>
      <c r="I74" s="555"/>
      <c r="J74" s="555"/>
      <c r="K74" s="555"/>
      <c r="L74" s="556"/>
      <c r="M74" s="557"/>
      <c r="N74" s="1137"/>
      <c r="O74" s="1137"/>
      <c r="P74" s="2616"/>
      <c r="Q74" s="550"/>
    </row>
    <row r="75" spans="1:17" s="462" customFormat="1" ht="15.75" thickBot="1">
      <c r="A75" s="559"/>
      <c r="B75" s="560"/>
      <c r="C75" s="561"/>
      <c r="D75" s="561"/>
      <c r="E75" s="561"/>
      <c r="F75" s="561"/>
      <c r="G75" s="561"/>
      <c r="H75" s="562"/>
      <c r="I75" s="562"/>
      <c r="J75" s="562"/>
      <c r="K75" s="562"/>
      <c r="L75" s="562"/>
      <c r="M75" s="563"/>
      <c r="N75" s="1137"/>
      <c r="O75" s="1137"/>
      <c r="P75" s="2614"/>
      <c r="Q75" s="550"/>
    </row>
    <row r="76" spans="1:17">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3"/>
      <c r="Q77" s="495"/>
    </row>
    <row r="78" spans="1:17" ht="15.7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3"/>
      <c r="Q79" s="495"/>
    </row>
    <row r="80" spans="1:17" ht="15.7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3"/>
      <c r="Q81" s="495"/>
    </row>
    <row r="82" spans="1:17" ht="15.75" thickTop="1">
      <c r="A82" s="525"/>
      <c r="B82" s="537" t="s">
        <v>2088</v>
      </c>
      <c r="C82" s="530" t="s">
        <v>2592</v>
      </c>
      <c r="D82" s="530" t="s">
        <v>2593</v>
      </c>
      <c r="E82" s="530" t="s">
        <v>2594</v>
      </c>
      <c r="F82" s="530" t="s">
        <v>2595</v>
      </c>
      <c r="G82" s="530" t="s">
        <v>2596</v>
      </c>
      <c r="H82" s="530"/>
      <c r="I82" s="530"/>
      <c r="J82" s="530"/>
      <c r="K82" s="530"/>
      <c r="L82" s="530"/>
      <c r="M82" s="1365"/>
      <c r="N82" s="1136"/>
      <c r="O82" s="1136"/>
      <c r="P82" s="2613"/>
      <c r="Q82" s="495"/>
    </row>
    <row r="83" spans="1:17" ht="15.75"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3"/>
      <c r="Q83" s="495"/>
    </row>
    <row r="84" spans="1:17" ht="15.7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3"/>
      <c r="Q85" s="495"/>
    </row>
    <row r="86" spans="1:17" s="113" customFormat="1" ht="15.75" thickTop="1">
      <c r="A86" s="570"/>
      <c r="B86" s="529" t="s">
        <v>2598</v>
      </c>
      <c r="C86" s="545"/>
      <c r="D86" s="545"/>
      <c r="E86" s="545"/>
      <c r="F86" s="545"/>
      <c r="G86" s="545"/>
      <c r="H86" s="545"/>
      <c r="I86" s="545"/>
      <c r="J86" s="545"/>
      <c r="K86" s="545"/>
      <c r="L86" s="571"/>
      <c r="M86" s="572"/>
      <c r="N86" s="1134"/>
      <c r="O86" s="1134"/>
      <c r="P86" s="2613"/>
      <c r="Q86" s="495"/>
    </row>
    <row r="87" spans="1:17" s="113"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3"/>
      <c r="Q87" s="495"/>
    </row>
    <row r="88" spans="1:17" s="113" customFormat="1" ht="15.75" thickTop="1">
      <c r="A88" s="570"/>
      <c r="B88" s="529" t="s">
        <v>2599</v>
      </c>
      <c r="C88" s="545"/>
      <c r="D88" s="545"/>
      <c r="E88" s="545"/>
      <c r="F88" s="2618"/>
      <c r="G88" s="545"/>
      <c r="H88" s="545"/>
      <c r="I88" s="545"/>
      <c r="J88" s="545"/>
      <c r="K88" s="545"/>
      <c r="L88" s="545"/>
      <c r="M88" s="572"/>
      <c r="N88" s="1134"/>
      <c r="O88" s="1134"/>
      <c r="P88" s="2613"/>
      <c r="Q88" s="495"/>
    </row>
    <row r="89" spans="1:17" s="113"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3"/>
      <c r="Q89" s="495"/>
    </row>
    <row r="90" spans="1:17" s="462" customFormat="1" ht="15.75" thickTop="1">
      <c r="A90" s="544"/>
      <c r="B90" s="529">
        <f>B27</f>
        <v>111</v>
      </c>
      <c r="C90" s="545"/>
      <c r="D90" s="545"/>
      <c r="E90" s="545"/>
      <c r="F90" s="545"/>
      <c r="G90" s="545"/>
      <c r="H90" s="546"/>
      <c r="I90" s="546"/>
      <c r="J90" s="546"/>
      <c r="K90" s="546"/>
      <c r="L90" s="547"/>
      <c r="M90" s="548"/>
      <c r="N90" s="1137"/>
      <c r="O90" s="1137"/>
      <c r="P90" s="2614"/>
      <c r="Q90" s="550"/>
    </row>
    <row r="91" spans="1:17" s="462" customFormat="1" ht="15.75" thickBot="1">
      <c r="A91" s="544"/>
      <c r="B91" s="534"/>
      <c r="C91" s="551"/>
      <c r="D91" s="551"/>
      <c r="E91" s="551"/>
      <c r="F91" s="551"/>
      <c r="G91" s="551"/>
      <c r="H91" s="553"/>
      <c r="I91" s="553"/>
      <c r="J91" s="553"/>
      <c r="K91" s="553"/>
      <c r="L91" s="553"/>
      <c r="M91" s="554"/>
      <c r="N91" s="1137"/>
      <c r="O91" s="1137"/>
      <c r="P91" s="2614"/>
      <c r="Q91" s="550"/>
    </row>
    <row r="92" spans="1:17" ht="15.75" thickTop="1">
      <c r="A92" s="525"/>
      <c r="B92" s="529">
        <f>B28</f>
        <v>111</v>
      </c>
      <c r="C92" s="545"/>
      <c r="D92" s="545"/>
      <c r="E92" s="545"/>
      <c r="F92" s="545"/>
      <c r="G92" s="574"/>
      <c r="H92" s="574"/>
      <c r="I92" s="574"/>
      <c r="J92" s="574"/>
      <c r="K92" s="575"/>
      <c r="L92" s="576"/>
      <c r="M92" s="577"/>
      <c r="N92" s="1135"/>
      <c r="O92" s="1135"/>
      <c r="P92" s="2613"/>
      <c r="Q92" s="495"/>
    </row>
    <row r="93" spans="1:17" ht="15.75" thickBot="1">
      <c r="A93" s="525"/>
      <c r="B93" s="534"/>
      <c r="C93" s="551"/>
      <c r="D93" s="527"/>
      <c r="E93" s="527"/>
      <c r="F93" s="527"/>
      <c r="G93" s="527"/>
      <c r="H93" s="527"/>
      <c r="I93" s="527"/>
      <c r="J93" s="527"/>
      <c r="K93" s="527"/>
      <c r="L93" s="527"/>
      <c r="M93" s="528"/>
      <c r="N93" s="1136"/>
      <c r="O93" s="1136"/>
      <c r="P93" s="2613"/>
      <c r="Q93" s="495"/>
    </row>
    <row r="94" spans="1:17" ht="15.75" thickTop="1">
      <c r="A94" s="525"/>
      <c r="B94" s="529">
        <f>B29</f>
        <v>111</v>
      </c>
      <c r="C94" s="545"/>
      <c r="D94" s="545"/>
      <c r="E94" s="545"/>
      <c r="F94" s="545"/>
      <c r="G94" s="574"/>
      <c r="H94" s="574"/>
      <c r="I94" s="574"/>
      <c r="J94" s="574"/>
      <c r="K94" s="575"/>
      <c r="L94" s="576"/>
      <c r="M94" s="577"/>
      <c r="N94" s="1135"/>
      <c r="O94" s="1135"/>
      <c r="P94" s="2613"/>
      <c r="Q94" s="495"/>
    </row>
    <row r="95" spans="1:17" ht="15.75" thickBot="1">
      <c r="A95" s="525"/>
      <c r="B95" s="534"/>
      <c r="C95" s="551"/>
      <c r="D95" s="551"/>
      <c r="E95" s="551"/>
      <c r="F95" s="551"/>
      <c r="G95" s="527"/>
      <c r="H95" s="527"/>
      <c r="I95" s="527"/>
      <c r="J95" s="527"/>
      <c r="K95" s="527"/>
      <c r="L95" s="527"/>
      <c r="M95" s="528"/>
      <c r="N95" s="1136"/>
      <c r="O95" s="1136"/>
      <c r="P95" s="2613"/>
      <c r="Q95" s="495"/>
    </row>
    <row r="96" spans="1:17" ht="15.75" thickTop="1">
      <c r="A96" s="525"/>
      <c r="B96" s="529">
        <f>B30</f>
        <v>111</v>
      </c>
      <c r="C96" s="545"/>
      <c r="D96" s="545"/>
      <c r="E96" s="545"/>
      <c r="F96" s="545"/>
      <c r="G96" s="574"/>
      <c r="H96" s="574"/>
      <c r="I96" s="574"/>
      <c r="J96" s="574"/>
      <c r="K96" s="575"/>
      <c r="L96" s="576"/>
      <c r="M96" s="577"/>
      <c r="N96" s="1135"/>
      <c r="O96" s="1135"/>
      <c r="P96" s="2613"/>
      <c r="Q96" s="495"/>
    </row>
    <row r="97" spans="1:17" ht="15.75" thickBot="1">
      <c r="A97" s="525"/>
      <c r="B97" s="534"/>
      <c r="C97" s="561"/>
      <c r="D97" s="561"/>
      <c r="E97" s="561"/>
      <c r="F97" s="561"/>
      <c r="G97" s="527"/>
      <c r="H97" s="527"/>
      <c r="I97" s="527"/>
      <c r="J97" s="527"/>
      <c r="K97" s="527"/>
      <c r="L97" s="527"/>
      <c r="M97" s="528"/>
      <c r="N97" s="1136"/>
      <c r="O97" s="1136"/>
      <c r="P97" s="2613"/>
      <c r="Q97" s="495"/>
    </row>
    <row r="98" spans="1:17" ht="15.75" thickTop="1">
      <c r="A98" s="525"/>
      <c r="B98" s="537">
        <f>B31</f>
        <v>111</v>
      </c>
      <c r="C98" s="578"/>
      <c r="D98" s="578"/>
      <c r="E98" s="578"/>
      <c r="F98" s="578"/>
      <c r="G98" s="578"/>
      <c r="H98" s="578"/>
      <c r="I98" s="578"/>
      <c r="J98" s="578"/>
      <c r="K98" s="579"/>
      <c r="L98" s="580"/>
      <c r="M98" s="581"/>
      <c r="N98" s="1135"/>
      <c r="O98" s="1135"/>
      <c r="P98" s="2613"/>
      <c r="Q98" s="495"/>
    </row>
    <row r="99" spans="1:17" ht="15.75" thickBot="1">
      <c r="A99" s="2619"/>
      <c r="B99" s="560"/>
      <c r="C99" s="582"/>
      <c r="D99" s="582"/>
      <c r="E99" s="582"/>
      <c r="F99" s="582"/>
      <c r="G99" s="582"/>
      <c r="H99" s="582"/>
      <c r="I99" s="582"/>
      <c r="J99" s="582"/>
      <c r="K99" s="582"/>
      <c r="L99" s="582"/>
      <c r="M99" s="583"/>
      <c r="N99" s="1136"/>
      <c r="O99" s="1136"/>
      <c r="P99" s="2613"/>
      <c r="Q99" s="495"/>
    </row>
    <row r="100" spans="1:17">
      <c r="A100" s="518" t="s">
        <v>2551</v>
      </c>
      <c r="B100" s="519" t="s">
        <v>2600</v>
      </c>
      <c r="C100" s="521"/>
      <c r="D100" s="521"/>
      <c r="E100" s="521"/>
      <c r="F100" s="521"/>
      <c r="G100" s="521"/>
      <c r="H100" s="521"/>
      <c r="I100" s="521"/>
      <c r="J100" s="521"/>
      <c r="K100" s="522"/>
      <c r="L100" s="523"/>
      <c r="M100" s="524"/>
      <c r="N100" s="1135"/>
      <c r="O100" s="1135"/>
      <c r="P100" s="2613"/>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3"/>
      <c r="Q101" s="495"/>
    </row>
    <row r="102" spans="1:17" ht="15.75" thickTop="1">
      <c r="A102" s="525"/>
      <c r="B102" s="529" t="s">
        <v>2601</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3"/>
      <c r="Q102" s="495"/>
    </row>
    <row r="103" spans="1:17" s="462" customFormat="1">
      <c r="A103" s="584"/>
      <c r="B103" s="585"/>
      <c r="C103" s="586"/>
      <c r="D103" s="586"/>
      <c r="E103" s="586"/>
      <c r="F103" s="586"/>
      <c r="G103" s="586"/>
      <c r="H103" s="586"/>
      <c r="I103" s="586"/>
      <c r="J103" s="587"/>
      <c r="K103" s="587"/>
      <c r="L103" s="588"/>
      <c r="M103" s="589"/>
      <c r="N103" s="1137"/>
      <c r="O103" s="1137"/>
      <c r="P103" s="2614"/>
      <c r="Q103" s="550"/>
    </row>
    <row r="104" spans="1:17" s="462" customFormat="1" ht="15.75" thickBot="1">
      <c r="A104" s="544"/>
      <c r="B104" s="534"/>
      <c r="C104" s="551"/>
      <c r="D104" s="527"/>
      <c r="E104" s="527"/>
      <c r="F104" s="527"/>
      <c r="G104" s="527"/>
      <c r="H104" s="527"/>
      <c r="I104" s="527"/>
      <c r="J104" s="527"/>
      <c r="K104" s="527"/>
      <c r="L104" s="527"/>
      <c r="M104" s="527"/>
      <c r="N104" s="1136"/>
      <c r="O104" s="1136"/>
      <c r="P104" s="2614"/>
      <c r="Q104" s="550"/>
    </row>
    <row r="105" spans="1:17" ht="15" thickTop="1">
      <c r="A105" s="590"/>
      <c r="B105" s="529" t="s">
        <v>2602</v>
      </c>
      <c r="C105" s="545"/>
      <c r="D105" s="545"/>
      <c r="E105" s="574"/>
      <c r="F105" s="574"/>
      <c r="G105" s="574"/>
      <c r="H105" s="574"/>
      <c r="I105" s="574"/>
      <c r="J105" s="574"/>
      <c r="K105" s="575"/>
      <c r="L105" s="576"/>
      <c r="M105" s="577"/>
      <c r="N105" s="1135"/>
      <c r="O105" s="1135"/>
      <c r="P105" s="2613"/>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3"/>
      <c r="Q106" s="495"/>
    </row>
    <row r="107" spans="1:17" ht="15" thickTop="1">
      <c r="A107" s="590"/>
      <c r="B107" s="529" t="s">
        <v>2603</v>
      </c>
      <c r="C107" s="574"/>
      <c r="D107" s="574"/>
      <c r="E107" s="574"/>
      <c r="F107" s="574"/>
      <c r="G107" s="574"/>
      <c r="H107" s="574"/>
      <c r="I107" s="574"/>
      <c r="J107" s="574"/>
      <c r="K107" s="575"/>
      <c r="L107" s="576"/>
      <c r="M107" s="577"/>
      <c r="N107" s="1135"/>
      <c r="O107" s="1135"/>
      <c r="P107" s="2613"/>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3"/>
      <c r="Q108" s="495"/>
    </row>
    <row r="109" spans="1:17" ht="15" thickTop="1">
      <c r="A109" s="590"/>
      <c r="B109" s="529" t="s">
        <v>2604</v>
      </c>
      <c r="C109" s="545"/>
      <c r="D109" s="545"/>
      <c r="E109" s="545"/>
      <c r="F109" s="574"/>
      <c r="G109" s="574"/>
      <c r="H109" s="574"/>
      <c r="I109" s="574"/>
      <c r="J109" s="574"/>
      <c r="K109" s="575"/>
      <c r="L109" s="576"/>
      <c r="M109" s="577"/>
      <c r="N109" s="1135"/>
      <c r="O109" s="1135"/>
      <c r="P109" s="2613"/>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3"/>
      <c r="Q110" s="495"/>
    </row>
    <row r="111" spans="1:17" s="462" customFormat="1" ht="15" thickTop="1">
      <c r="A111" s="584"/>
      <c r="B111" s="529" t="s">
        <v>1991</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4"/>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4"/>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4"/>
      <c r="Q113" s="550"/>
    </row>
    <row r="114" spans="1:17" ht="15" thickTop="1">
      <c r="A114" s="590"/>
      <c r="B114" s="529" t="s">
        <v>2605</v>
      </c>
      <c r="C114" s="545"/>
      <c r="D114" s="545"/>
      <c r="E114" s="574"/>
      <c r="F114" s="574"/>
      <c r="G114" s="574"/>
      <c r="H114" s="574"/>
      <c r="I114" s="574"/>
      <c r="J114" s="574"/>
      <c r="K114" s="575"/>
      <c r="L114" s="576"/>
      <c r="M114" s="577"/>
      <c r="N114" s="1135"/>
      <c r="O114" s="1135"/>
      <c r="P114" s="2613"/>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3"/>
      <c r="Q115" s="495"/>
    </row>
    <row r="116" spans="1:17" ht="15" thickTop="1">
      <c r="A116" s="590"/>
      <c r="B116" s="529" t="s">
        <v>2606</v>
      </c>
      <c r="C116" s="545"/>
      <c r="D116" s="545"/>
      <c r="E116" s="545"/>
      <c r="F116" s="545"/>
      <c r="G116" s="545"/>
      <c r="H116" s="574"/>
      <c r="I116" s="574"/>
      <c r="J116" s="574"/>
      <c r="K116" s="575"/>
      <c r="L116" s="576"/>
      <c r="M116" s="577"/>
      <c r="N116" s="1135"/>
      <c r="O116" s="1135"/>
      <c r="P116" s="2613"/>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3"/>
      <c r="Q117" s="495"/>
    </row>
    <row r="118" spans="1:17" ht="15" thickTop="1">
      <c r="A118" s="590"/>
      <c r="B118" s="529" t="s">
        <v>2607</v>
      </c>
      <c r="C118" s="574"/>
      <c r="D118" s="574"/>
      <c r="E118" s="574"/>
      <c r="F118" s="574"/>
      <c r="G118" s="574"/>
      <c r="H118" s="574"/>
      <c r="I118" s="574"/>
      <c r="J118" s="574"/>
      <c r="K118" s="575"/>
      <c r="L118" s="576"/>
      <c r="M118" s="577"/>
      <c r="N118" s="1135"/>
      <c r="O118" s="1135"/>
      <c r="P118" s="2613"/>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3"/>
      <c r="Q119" s="495"/>
    </row>
    <row r="120" spans="1:17" s="462" customFormat="1" ht="28.5" thickTop="1">
      <c r="A120" s="584"/>
      <c r="B120" s="529" t="s">
        <v>2562</v>
      </c>
      <c r="C120" s="545"/>
      <c r="D120" s="545"/>
      <c r="E120" s="545"/>
      <c r="F120" s="545"/>
      <c r="G120" s="545"/>
      <c r="H120" s="545"/>
      <c r="I120" s="545"/>
      <c r="J120" s="545"/>
      <c r="K120" s="545"/>
      <c r="L120" s="571"/>
      <c r="M120" s="572"/>
      <c r="N120" s="1137"/>
      <c r="O120" s="1137"/>
      <c r="P120" s="2614"/>
      <c r="Q120" s="550"/>
    </row>
    <row r="121" spans="1:17" s="462" customFormat="1" ht="15.75" thickBot="1">
      <c r="A121" s="544"/>
      <c r="B121" s="526"/>
      <c r="C121" s="551"/>
      <c r="D121" s="527"/>
      <c r="E121" s="527"/>
      <c r="F121" s="527"/>
      <c r="G121" s="527"/>
      <c r="H121" s="527"/>
      <c r="I121" s="527"/>
      <c r="J121" s="527"/>
      <c r="K121" s="527"/>
      <c r="L121" s="527"/>
      <c r="M121" s="527"/>
      <c r="N121" s="1137"/>
      <c r="O121" s="1137"/>
      <c r="P121" s="2614"/>
      <c r="Q121" s="550"/>
    </row>
    <row r="122" spans="1:17" ht="15" thickTop="1">
      <c r="A122" s="590"/>
      <c r="B122" s="529" t="s">
        <v>2608</v>
      </c>
      <c r="C122" s="545"/>
      <c r="D122" s="545"/>
      <c r="E122" s="545"/>
      <c r="F122" s="574"/>
      <c r="G122" s="574"/>
      <c r="H122" s="574"/>
      <c r="I122" s="574"/>
      <c r="J122" s="574"/>
      <c r="K122" s="575"/>
      <c r="L122" s="576"/>
      <c r="M122" s="577"/>
      <c r="N122" s="1135"/>
      <c r="O122" s="1135"/>
      <c r="P122" s="2613"/>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3"/>
      <c r="Q123" s="495"/>
    </row>
    <row r="124" spans="1:17" ht="15"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3"/>
      <c r="Q125" s="495"/>
    </row>
    <row r="126" spans="1:17" s="462" customFormat="1" ht="15" thickTop="1">
      <c r="A126" s="584"/>
      <c r="B126" s="529">
        <f>B44</f>
        <v>111</v>
      </c>
      <c r="C126" s="545"/>
      <c r="D126" s="545"/>
      <c r="E126" s="545"/>
      <c r="F126" s="545"/>
      <c r="G126" s="545"/>
      <c r="H126" s="546"/>
      <c r="I126" s="546"/>
      <c r="J126" s="546"/>
      <c r="K126" s="546"/>
      <c r="L126" s="547"/>
      <c r="M126" s="548"/>
      <c r="N126" s="1137"/>
      <c r="O126" s="1137"/>
      <c r="P126" s="2614"/>
      <c r="Q126" s="550"/>
    </row>
    <row r="127" spans="1:17" s="462" customFormat="1" ht="15.75" thickBot="1">
      <c r="A127" s="544"/>
      <c r="B127" s="534"/>
      <c r="C127" s="551"/>
      <c r="D127" s="527"/>
      <c r="E127" s="527"/>
      <c r="F127" s="527"/>
      <c r="G127" s="551"/>
      <c r="H127" s="553"/>
      <c r="I127" s="553"/>
      <c r="J127" s="553"/>
      <c r="K127" s="553"/>
      <c r="L127" s="553"/>
      <c r="M127" s="554"/>
      <c r="N127" s="1137"/>
      <c r="O127" s="1137"/>
      <c r="P127" s="2614"/>
      <c r="Q127" s="550"/>
    </row>
    <row r="128" spans="1:17" ht="15" thickTop="1">
      <c r="A128" s="590"/>
      <c r="B128" s="529">
        <f>B45</f>
        <v>111</v>
      </c>
      <c r="C128" s="545"/>
      <c r="D128" s="545"/>
      <c r="E128" s="545"/>
      <c r="F128" s="545"/>
      <c r="G128" s="574"/>
      <c r="H128" s="574"/>
      <c r="I128" s="574"/>
      <c r="J128" s="574"/>
      <c r="K128" s="575"/>
      <c r="L128" s="576"/>
      <c r="M128" s="577"/>
      <c r="N128" s="1135"/>
      <c r="O128" s="1135"/>
      <c r="P128" s="2613"/>
      <c r="Q128" s="495"/>
    </row>
    <row r="129" spans="1:17" ht="15.75" thickBot="1">
      <c r="A129" s="525"/>
      <c r="B129" s="534"/>
      <c r="C129" s="551"/>
      <c r="D129" s="551"/>
      <c r="E129" s="551"/>
      <c r="F129" s="551"/>
      <c r="G129" s="527"/>
      <c r="H129" s="527"/>
      <c r="I129" s="527"/>
      <c r="J129" s="527"/>
      <c r="K129" s="527"/>
      <c r="L129" s="527"/>
      <c r="M129" s="528"/>
      <c r="N129" s="1136"/>
      <c r="O129" s="1136"/>
      <c r="P129" s="2613"/>
      <c r="Q129" s="495"/>
    </row>
    <row r="130" spans="1:17" ht="15" thickTop="1">
      <c r="A130" s="590"/>
      <c r="B130" s="537">
        <f>B46</f>
        <v>111</v>
      </c>
      <c r="C130" s="545"/>
      <c r="D130" s="545"/>
      <c r="E130" s="545"/>
      <c r="F130" s="545"/>
      <c r="G130" s="578"/>
      <c r="H130" s="578"/>
      <c r="I130" s="578"/>
      <c r="J130" s="578"/>
      <c r="K130" s="514"/>
      <c r="L130" s="515"/>
      <c r="M130" s="581"/>
      <c r="N130" s="1135"/>
      <c r="O130" s="1135"/>
      <c r="P130" s="2613"/>
      <c r="Q130" s="495"/>
    </row>
    <row r="131" spans="1:17" ht="15.75" thickBot="1">
      <c r="A131" s="2619"/>
      <c r="B131" s="560"/>
      <c r="C131" s="561"/>
      <c r="D131" s="561"/>
      <c r="E131" s="561"/>
      <c r="F131" s="561"/>
      <c r="G131" s="582"/>
      <c r="H131" s="582"/>
      <c r="I131" s="582"/>
      <c r="J131" s="582"/>
      <c r="K131" s="582"/>
      <c r="L131" s="582"/>
      <c r="M131" s="583"/>
      <c r="N131" s="1136"/>
      <c r="O131" s="1136"/>
      <c r="P131" s="2613"/>
      <c r="Q131" s="495"/>
    </row>
    <row r="136" spans="1:17" ht="15" thickBot="1">
      <c r="B136" s="2620" t="s">
        <v>2610</v>
      </c>
    </row>
    <row r="137" spans="1:17" ht="15">
      <c r="B137" s="2621" t="s">
        <v>2611</v>
      </c>
      <c r="C137" s="2622"/>
      <c r="D137" s="2622"/>
      <c r="E137" s="2622"/>
      <c r="F137" s="2622"/>
      <c r="G137" s="2623"/>
      <c r="H137" s="2624"/>
      <c r="I137" s="2625" t="s">
        <v>2612</v>
      </c>
      <c r="J137" s="2622"/>
      <c r="K137" s="2626"/>
    </row>
    <row r="138" spans="1:17" ht="15">
      <c r="B138" s="2627"/>
      <c r="C138" s="137" t="s">
        <v>2613</v>
      </c>
      <c r="D138" s="137" t="s">
        <v>2614</v>
      </c>
      <c r="E138" s="2628" t="s">
        <v>2615</v>
      </c>
      <c r="F138" s="2629" t="s">
        <v>2616</v>
      </c>
      <c r="G138" s="137" t="s">
        <v>2614</v>
      </c>
      <c r="H138" s="138" t="s">
        <v>2615</v>
      </c>
      <c r="I138" s="2630"/>
      <c r="J138" s="137" t="s">
        <v>2617</v>
      </c>
      <c r="K138" s="138" t="s">
        <v>2618</v>
      </c>
    </row>
    <row r="139" spans="1:17" ht="15">
      <c r="B139" s="1067">
        <v>6</v>
      </c>
      <c r="C139" s="1068">
        <v>96</v>
      </c>
      <c r="D139" s="2631" t="s">
        <v>2619</v>
      </c>
      <c r="E139" s="1069">
        <v>100</v>
      </c>
      <c r="F139" s="1070">
        <v>102.5</v>
      </c>
      <c r="G139" s="2631" t="s">
        <v>2619</v>
      </c>
      <c r="H139" s="1071">
        <v>105</v>
      </c>
      <c r="I139" s="2632" t="s">
        <v>2620</v>
      </c>
      <c r="J139" s="1068">
        <v>20</v>
      </c>
      <c r="K139" s="1072">
        <f>C145/(J139-2)</f>
        <v>4.0555555555555553E-3</v>
      </c>
    </row>
    <row r="140" spans="1:17" ht="15">
      <c r="B140" s="1073">
        <v>5</v>
      </c>
      <c r="C140" s="1074">
        <v>100</v>
      </c>
      <c r="D140" s="1074"/>
      <c r="E140" s="1075"/>
      <c r="F140" s="1076">
        <v>102</v>
      </c>
      <c r="G140" s="1074"/>
      <c r="H140" s="1077"/>
      <c r="I140" s="2633" t="s">
        <v>2621</v>
      </c>
      <c r="J140" s="306">
        <f>ROUNDUP((J139-1)/2,0)</f>
        <v>10</v>
      </c>
      <c r="K140" s="1078">
        <v>100</v>
      </c>
    </row>
    <row r="141" spans="1:17" ht="15">
      <c r="B141" s="1073">
        <v>4</v>
      </c>
      <c r="C141" s="1074">
        <v>102</v>
      </c>
      <c r="D141" s="1074"/>
      <c r="E141" s="1075"/>
      <c r="F141" s="1076">
        <v>101.5</v>
      </c>
      <c r="G141" s="1074"/>
      <c r="H141" s="1077"/>
      <c r="I141" s="2633" t="s">
        <v>2622</v>
      </c>
      <c r="J141" s="306">
        <v>1</v>
      </c>
      <c r="K141" s="1079">
        <f>ROUND(100+(J141-J140)*K139*100,1)</f>
        <v>96.4</v>
      </c>
    </row>
    <row r="142" spans="1:17" ht="15">
      <c r="B142" s="1073">
        <v>3</v>
      </c>
      <c r="C142" s="1074">
        <v>103</v>
      </c>
      <c r="D142" s="1074"/>
      <c r="E142" s="1075"/>
      <c r="F142" s="1076">
        <v>101</v>
      </c>
      <c r="G142" s="1074"/>
      <c r="H142" s="1077"/>
      <c r="I142" s="2633" t="s">
        <v>2623</v>
      </c>
      <c r="J142" s="306">
        <f>J139</f>
        <v>20</v>
      </c>
      <c r="K142" s="1080">
        <v>95</v>
      </c>
    </row>
    <row r="143" spans="1:17" ht="15">
      <c r="B143" s="1073">
        <v>2</v>
      </c>
      <c r="C143" s="1074">
        <v>100</v>
      </c>
      <c r="D143" s="1074"/>
      <c r="E143" s="1075"/>
      <c r="F143" s="1076">
        <v>100.5</v>
      </c>
      <c r="G143" s="1074"/>
      <c r="H143" s="1077"/>
      <c r="I143" s="2633" t="s">
        <v>2624</v>
      </c>
      <c r="J143" s="1074">
        <v>15</v>
      </c>
      <c r="K143" s="1079">
        <f>ROUND(100+(J143-J140)*K139*100,1)</f>
        <v>102</v>
      </c>
    </row>
    <row r="144" spans="1:17" ht="15">
      <c r="B144" s="1073">
        <v>1</v>
      </c>
      <c r="C144" s="1074">
        <v>98</v>
      </c>
      <c r="D144" s="2634" t="s">
        <v>2625</v>
      </c>
      <c r="E144" s="1075">
        <v>102</v>
      </c>
      <c r="F144" s="1081">
        <v>100</v>
      </c>
      <c r="G144" s="2634" t="s">
        <v>2625</v>
      </c>
      <c r="H144" s="1077">
        <v>105</v>
      </c>
      <c r="I144" s="2633" t="s">
        <v>2624</v>
      </c>
      <c r="J144" s="1074">
        <v>18</v>
      </c>
      <c r="K144" s="1079">
        <f>ROUND(100+(J144-J140)*K139*100,1)</f>
        <v>103.2</v>
      </c>
    </row>
    <row r="145" spans="2:11" ht="15.75" thickBot="1">
      <c r="B145" s="2635" t="s">
        <v>2626</v>
      </c>
      <c r="C145" s="1082">
        <f>ROUND(MAX(C139:C144)/MIN(C139:C144)-1,3)</f>
        <v>7.2999999999999995E-2</v>
      </c>
      <c r="D145" s="1083"/>
      <c r="E145" s="1083"/>
      <c r="F145" s="2636" t="s">
        <v>2627</v>
      </c>
      <c r="G145" s="2637"/>
      <c r="H145" s="2638"/>
      <c r="I145" s="2639" t="s">
        <v>2624</v>
      </c>
      <c r="J145" s="1084">
        <v>8</v>
      </c>
      <c r="K145" s="1085">
        <f>ROUND(100+(J145-J140)*K139*100,1)</f>
        <v>99.2</v>
      </c>
    </row>
    <row r="147" spans="2:11">
      <c r="B147" s="2620" t="s">
        <v>2628</v>
      </c>
    </row>
    <row r="148" spans="2:11">
      <c r="B148" s="262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27" customWidth="1"/>
    <col min="2" max="16384" width="9" style="1927"/>
  </cols>
  <sheetData>
    <row r="1" spans="1:1" ht="23.25">
      <c r="A1" s="1926" t="s">
        <v>1605</v>
      </c>
    </row>
    <row r="2" spans="1:1">
      <c r="A2" s="1928"/>
    </row>
    <row r="3" spans="1:1" ht="18">
      <c r="A3" s="1929" t="str">
        <f>项目基本情况!B5&amp;"："</f>
        <v>：</v>
      </c>
    </row>
    <row r="4" spans="1:1" ht="18">
      <c r="A4" s="1930" t="str">
        <f>"受贵公司委托，我公司对"&amp;项目基本情况!S1&amp;"进行了预评估。"</f>
        <v>受贵公司委托，我公司对北京市房地产抵押价值进行了预评估。</v>
      </c>
    </row>
    <row r="5" spans="1:1" ht="18.75">
      <c r="A5" s="1931" t="s">
        <v>1606</v>
      </c>
    </row>
    <row r="6" spans="1:1" ht="18.75">
      <c r="A6" s="1932" t="s">
        <v>1607</v>
      </c>
    </row>
    <row r="7" spans="1:1" ht="54">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估价对象为北京市房地产，为所有。根据，估价对象（分摊）出让国有建设用地使用权面积为0平方米。根据《房屋所有权证》[]、《测绘报告》[]，估价对象建筑面积为1266.65平方米。</v>
      </c>
    </row>
    <row r="8" spans="1:1" ht="57.75">
      <c r="A8" s="1933" t="s">
        <v>1608</v>
      </c>
    </row>
    <row r="9" spans="1:1" ht="18.75">
      <c r="A9" s="1932" t="s">
        <v>1609</v>
      </c>
    </row>
    <row r="10" spans="1:1" ht="5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估价对象（分摊）出让国有建设用地使用权面积为0平方米。根据《房屋所有权证》[]、《测绘报告》[]，估价对象规划建筑面积为1266.65平方米。</v>
      </c>
    </row>
    <row r="11" spans="1:1" ht="76.5">
      <c r="A11" s="1933" t="s">
        <v>1610</v>
      </c>
    </row>
    <row r="12" spans="1:1" ht="18.75">
      <c r="A12" s="1931" t="s">
        <v>1611</v>
      </c>
    </row>
    <row r="13" spans="1:1" ht="38.25" customHeight="1">
      <c r="A13" s="19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35" t="s">
        <v>1612</v>
      </c>
    </row>
    <row r="15" spans="1:1" ht="18">
      <c r="A15" s="1936" t="str">
        <f>TEXT(项目基本情况!D3,"yyyy年m月d日;;")&amp;IF(项目基本情况!D3=项目基本情况!B3,"（评估专业人员实地查勘之日）","")</f>
        <v>2020年2月25日（评估专业人员实地查勘之日）</v>
      </c>
    </row>
    <row r="16" spans="1:1" ht="18.75">
      <c r="A16" s="1935" t="s">
        <v>1613</v>
      </c>
    </row>
    <row r="17" spans="1:1" ht="75">
      <c r="A17" s="1930" t="s">
        <v>1614</v>
      </c>
    </row>
    <row r="18" spans="1:1" ht="5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5" t="s">
        <v>1603</v>
      </c>
    </row>
    <row r="24" spans="1:1" ht="18">
      <c r="A24" s="1937" t="str">
        <f>"本次评估采用的主估价方法为"&amp;结果表!K4&amp;"和"&amp;结果表!L4&amp;"。"</f>
        <v>本次评估采用的主估价方法为比较法和收益法。</v>
      </c>
    </row>
    <row r="25" spans="1:1" ht="18">
      <c r="A25" s="1937"/>
    </row>
    <row r="26" spans="1:1" ht="18.75">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06"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2516</v>
      </c>
      <c r="B1" s="2652" t="s">
        <v>2674</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IF(C2="——",ROUND(C50*D3/10000,0),ROUND(C50*D3/10000,0)-D2)</f>
        <v>#DIV/0!</v>
      </c>
      <c r="C2" s="2569"/>
      <c r="D2" s="1348"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IF(C2="——",C50,ROUND(B2*10000/D3,0))</f>
        <v>#DIV/0!</v>
      </c>
      <c r="C3" s="391" t="s">
        <v>2632</v>
      </c>
      <c r="D3" s="390">
        <f>IF(D1="",'数据-汇总表'!E3,SUMIF('数据-汇总表'!$C19:$C33,D1,'数据-汇总表'!$E19:$E33))</f>
        <v>1266.6499999999999</v>
      </c>
      <c r="E3" s="2646"/>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5">
      <c r="A4" s="392" t="s">
        <v>2633</v>
      </c>
      <c r="B4" s="393"/>
      <c r="C4" s="3229" t="s">
        <v>2634</v>
      </c>
      <c r="D4" s="3230"/>
      <c r="E4" s="3231" t="s">
        <v>2635</v>
      </c>
      <c r="F4" s="3232"/>
      <c r="G4" s="3229" t="s">
        <v>2636</v>
      </c>
      <c r="H4" s="3230"/>
      <c r="I4" s="3229" t="s">
        <v>2637</v>
      </c>
      <c r="J4" s="3230"/>
      <c r="K4" s="601" t="s">
        <v>2638</v>
      </c>
      <c r="L4" s="1113"/>
      <c r="M4" s="1114"/>
      <c r="N4" s="1114"/>
      <c r="O4" s="1114"/>
      <c r="P4" s="3279" t="s">
        <v>2639</v>
      </c>
      <c r="Q4" s="3280"/>
      <c r="R4" s="3274" t="s">
        <v>2635</v>
      </c>
      <c r="S4" s="3275"/>
      <c r="T4" s="3274" t="s">
        <v>2636</v>
      </c>
      <c r="U4" s="3275"/>
      <c r="V4" s="3283" t="s">
        <v>2637</v>
      </c>
      <c r="W4" s="3283"/>
      <c r="X4" s="2653"/>
      <c r="Y4" s="3274" t="s">
        <v>2639</v>
      </c>
      <c r="Z4" s="3275"/>
      <c r="AA4" s="3273" t="s">
        <v>2635</v>
      </c>
      <c r="AB4" s="3273" t="s">
        <v>2636</v>
      </c>
      <c r="AC4" s="3276" t="s">
        <v>2637</v>
      </c>
    </row>
    <row r="5" spans="1:29" ht="15">
      <c r="A5" s="395"/>
      <c r="B5" s="396"/>
      <c r="C5" s="3239" t="s">
        <v>2530</v>
      </c>
      <c r="D5" s="3240"/>
      <c r="E5" s="3271" t="s">
        <v>2531</v>
      </c>
      <c r="F5" s="3272"/>
      <c r="G5" s="3239" t="s">
        <v>2532</v>
      </c>
      <c r="H5" s="3240"/>
      <c r="I5" s="3239" t="s">
        <v>2533</v>
      </c>
      <c r="J5" s="3240"/>
      <c r="K5" s="601"/>
      <c r="L5" s="1113"/>
      <c r="M5" s="1114"/>
      <c r="N5" s="1114"/>
      <c r="O5" s="1114"/>
      <c r="P5" s="3281"/>
      <c r="Q5" s="3236"/>
      <c r="R5" s="3221"/>
      <c r="S5" s="3222"/>
      <c r="T5" s="3221"/>
      <c r="U5" s="3222"/>
      <c r="V5" s="3215"/>
      <c r="W5" s="3215"/>
      <c r="X5" s="1796"/>
      <c r="Y5" s="3221"/>
      <c r="Z5" s="3222"/>
      <c r="AA5" s="3226"/>
      <c r="AB5" s="3226"/>
      <c r="AC5" s="3277"/>
    </row>
    <row r="6" spans="1:29" ht="15.75" thickBot="1">
      <c r="A6" s="397"/>
      <c r="B6" s="398"/>
      <c r="C6" s="3245" t="s">
        <v>2534</v>
      </c>
      <c r="D6" s="3246"/>
      <c r="E6" s="3247" t="s">
        <v>2534</v>
      </c>
      <c r="F6" s="3248"/>
      <c r="G6" s="3245" t="s">
        <v>2534</v>
      </c>
      <c r="H6" s="3246"/>
      <c r="I6" s="3245" t="s">
        <v>2534</v>
      </c>
      <c r="J6" s="3246"/>
      <c r="K6" s="601" t="s">
        <v>2535</v>
      </c>
      <c r="L6" s="1113"/>
      <c r="M6" s="1114"/>
      <c r="N6" s="1114"/>
      <c r="O6" s="1114"/>
      <c r="P6" s="3282"/>
      <c r="Q6" s="3238"/>
      <c r="R6" s="3221"/>
      <c r="S6" s="3222"/>
      <c r="T6" s="3223"/>
      <c r="U6" s="3224"/>
      <c r="V6" s="3215"/>
      <c r="W6" s="3215"/>
      <c r="X6" s="1796"/>
      <c r="Y6" s="3223"/>
      <c r="Z6" s="3224"/>
      <c r="AA6" s="3227"/>
      <c r="AB6" s="3227"/>
      <c r="AC6" s="3278"/>
    </row>
    <row r="7" spans="1:29" s="113" customFormat="1" ht="15.75" thickBot="1">
      <c r="A7" s="399" t="s">
        <v>2536</v>
      </c>
      <c r="B7" s="400"/>
      <c r="C7" s="401">
        <f>'数据-取费表'!B2</f>
        <v>43886</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84"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2654" t="e">
        <f>D7/J7</f>
        <v>#DIV/0!</v>
      </c>
    </row>
    <row r="8" spans="1:29" s="113" customFormat="1" ht="15.75" thickBot="1">
      <c r="A8" s="399" t="s">
        <v>2538</v>
      </c>
      <c r="B8" s="400"/>
      <c r="C8" s="405" t="s">
        <v>2640</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84" t="s">
        <v>2540</v>
      </c>
      <c r="Q8" s="3217"/>
      <c r="R8" s="753" t="s">
        <v>17</v>
      </c>
      <c r="S8" s="754">
        <f t="shared" si="0"/>
        <v>0</v>
      </c>
      <c r="T8" s="753" t="s">
        <v>17</v>
      </c>
      <c r="U8" s="754">
        <f t="shared" si="1"/>
        <v>0</v>
      </c>
      <c r="V8" s="753" t="s">
        <v>17</v>
      </c>
      <c r="W8" s="754">
        <f t="shared" si="2"/>
        <v>0</v>
      </c>
      <c r="X8" s="755"/>
      <c r="Y8" s="3216" t="s">
        <v>2540</v>
      </c>
      <c r="Z8" s="3217"/>
      <c r="AA8" s="756" t="e">
        <f t="shared" ref="AA8:AA47" si="3">D8/F8</f>
        <v>#DIV/0!</v>
      </c>
      <c r="AB8" s="756" t="e">
        <f t="shared" ref="AB8:AB47" si="4">D8/H8</f>
        <v>#DIV/0!</v>
      </c>
      <c r="AC8" s="2654" t="e">
        <f t="shared" ref="AC8:AC47" si="5">D8/J8</f>
        <v>#DIV/0!</v>
      </c>
    </row>
    <row r="9" spans="1:29" s="113" customFormat="1">
      <c r="A9" s="406" t="s">
        <v>2541</v>
      </c>
      <c r="B9" s="70" t="s">
        <v>2542</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18"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2654">
        <f t="shared" si="5"/>
        <v>1</v>
      </c>
    </row>
    <row r="10" spans="1:29" s="418" customFormat="1" ht="27">
      <c r="A10" s="412"/>
      <c r="B10" s="413" t="s">
        <v>2545</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2654">
        <f t="shared" si="5"/>
        <v>1</v>
      </c>
    </row>
    <row r="11" spans="1:29" ht="15">
      <c r="A11" s="419"/>
      <c r="B11" s="413" t="s">
        <v>2546</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18"/>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2654" t="e">
        <f t="shared" si="5"/>
        <v>#N/A</v>
      </c>
    </row>
    <row r="12" spans="1:29" s="113" customFormat="1" ht="15">
      <c r="A12" s="422"/>
      <c r="B12" s="2583">
        <v>111</v>
      </c>
      <c r="C12" s="423"/>
      <c r="D12" s="424">
        <v>100</v>
      </c>
      <c r="E12" s="423"/>
      <c r="F12" s="127">
        <f>SUMIF(71:71,E12,72:72)-SUMIF(71:71,C12,72:72)+100</f>
        <v>100</v>
      </c>
      <c r="G12" s="2655"/>
      <c r="H12" s="127">
        <f>SUMIF(71:71,G12,72:72)-SUMIF(71:71,C12,72:72)+100</f>
        <v>100</v>
      </c>
      <c r="I12" s="423"/>
      <c r="J12" s="127">
        <f>SUMIF(71:71,I12,72:72)-SUMIF(71:71,C12,72:72)+100</f>
        <v>100</v>
      </c>
      <c r="K12" s="604"/>
      <c r="L12" s="1115"/>
      <c r="M12" s="1116"/>
      <c r="N12" s="1116"/>
      <c r="O12" s="1116"/>
      <c r="P12" s="3218"/>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2654">
        <f>D12/J12</f>
        <v>1</v>
      </c>
    </row>
    <row r="13" spans="1:29" ht="15">
      <c r="A13" s="419"/>
      <c r="B13" s="2583">
        <v>111</v>
      </c>
      <c r="C13" s="425"/>
      <c r="D13" s="426">
        <v>100</v>
      </c>
      <c r="E13" s="423"/>
      <c r="F13" s="127">
        <f>SUMIF(73:73,E13,74:74)-SUMIF(73:73,C13,74:74)+100</f>
        <v>100</v>
      </c>
      <c r="G13" s="2655"/>
      <c r="H13" s="426">
        <f>SUMIF(73:73,G13,74:74)-SUMIF(73:73,C13,74:74)+100</f>
        <v>100</v>
      </c>
      <c r="I13" s="423"/>
      <c r="J13" s="426">
        <f>SUMIF(73:73,I13,74:74)-SUMIF(73:73,C13,74:74)+100</f>
        <v>100</v>
      </c>
      <c r="K13" s="604"/>
      <c r="L13" s="1123"/>
      <c r="M13" s="1114"/>
      <c r="N13" s="1114"/>
      <c r="O13" s="1114"/>
      <c r="P13" s="3218"/>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2654">
        <f t="shared" si="5"/>
        <v>1</v>
      </c>
    </row>
    <row r="14" spans="1:29" ht="15.75" thickBot="1">
      <c r="A14" s="427"/>
      <c r="B14" s="2585">
        <v>111</v>
      </c>
      <c r="C14" s="428"/>
      <c r="D14" s="429">
        <v>100</v>
      </c>
      <c r="E14" s="617"/>
      <c r="F14" s="429">
        <f>SUMIF(75:75,E14,76:76)-SUMIF(75:75,C14,76:76)+100</f>
        <v>100</v>
      </c>
      <c r="G14" s="2655"/>
      <c r="H14" s="429">
        <f>SUMIF(75:75,G14,76:76)-SUMIF(75:75,C14,76:76)+100</f>
        <v>100</v>
      </c>
      <c r="I14" s="423"/>
      <c r="J14" s="429">
        <f>SUMIF(75:75,I14,76:76)-SUMIF(75:75,C14,76:76)+100</f>
        <v>100</v>
      </c>
      <c r="K14" s="604"/>
      <c r="L14" s="1123"/>
      <c r="M14" s="1114"/>
      <c r="N14" s="1114"/>
      <c r="O14" s="1114"/>
      <c r="P14" s="3218"/>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2654">
        <f t="shared" si="5"/>
        <v>1</v>
      </c>
    </row>
    <row r="15" spans="1:29" ht="15">
      <c r="A15" s="431" t="s">
        <v>2547</v>
      </c>
      <c r="B15" s="618" t="s">
        <v>2675</v>
      </c>
      <c r="C15" s="2656">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206" t="s">
        <v>2548</v>
      </c>
      <c r="Q15" s="1793" t="str">
        <f t="shared" si="6"/>
        <v>办公集聚程度</v>
      </c>
      <c r="R15" s="757" t="s">
        <v>17</v>
      </c>
      <c r="S15" s="758">
        <f t="shared" si="0"/>
        <v>100</v>
      </c>
      <c r="T15" s="757" t="s">
        <v>17</v>
      </c>
      <c r="U15" s="758">
        <f t="shared" si="1"/>
        <v>100</v>
      </c>
      <c r="V15" s="757" t="s">
        <v>17</v>
      </c>
      <c r="W15" s="758">
        <f t="shared" si="2"/>
        <v>100</v>
      </c>
      <c r="X15" s="1796"/>
      <c r="Y15" s="3208" t="s">
        <v>2548</v>
      </c>
      <c r="Z15" s="1797" t="str">
        <f t="shared" si="7"/>
        <v>办公集聚程度</v>
      </c>
      <c r="AA15" s="1794">
        <f t="shared" si="3"/>
        <v>1</v>
      </c>
      <c r="AB15" s="1794">
        <f t="shared" si="4"/>
        <v>1</v>
      </c>
      <c r="AC15" s="2657">
        <f t="shared" si="5"/>
        <v>1</v>
      </c>
    </row>
    <row r="16" spans="1:29" ht="15">
      <c r="A16" s="419"/>
      <c r="B16" s="619"/>
      <c r="C16" s="2594"/>
      <c r="D16" s="439"/>
      <c r="E16" s="438"/>
      <c r="F16" s="439"/>
      <c r="G16" s="2594"/>
      <c r="H16" s="441"/>
      <c r="I16" s="438"/>
      <c r="J16" s="439"/>
      <c r="K16" s="606"/>
      <c r="L16" s="1123"/>
      <c r="M16" s="1114"/>
      <c r="N16" s="1114"/>
      <c r="O16" s="1114"/>
      <c r="P16" s="3207"/>
      <c r="Q16" s="1793"/>
      <c r="R16" s="757"/>
      <c r="S16" s="758"/>
      <c r="T16" s="757"/>
      <c r="U16" s="758"/>
      <c r="V16" s="757"/>
      <c r="W16" s="758"/>
      <c r="X16" s="1796"/>
      <c r="Y16" s="3209"/>
      <c r="Z16" s="1797"/>
      <c r="AA16" s="1794">
        <v>1</v>
      </c>
      <c r="AB16" s="1794">
        <v>1</v>
      </c>
      <c r="AC16" s="2657">
        <v>1</v>
      </c>
    </row>
    <row r="17" spans="1:29" ht="15">
      <c r="A17" s="419"/>
      <c r="B17" s="620" t="s">
        <v>2087</v>
      </c>
      <c r="C17" s="2658">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207"/>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2657">
        <f t="shared" si="5"/>
        <v>1</v>
      </c>
    </row>
    <row r="18" spans="1:29" ht="15">
      <c r="A18" s="419"/>
      <c r="B18" s="621"/>
      <c r="C18" s="2659"/>
      <c r="D18" s="441"/>
      <c r="E18" s="2592"/>
      <c r="F18" s="441"/>
      <c r="G18" s="2593"/>
      <c r="H18" s="439"/>
      <c r="I18" s="2593"/>
      <c r="J18" s="439"/>
      <c r="K18" s="606"/>
      <c r="L18" s="1123"/>
      <c r="M18" s="1114"/>
      <c r="N18" s="1114"/>
      <c r="O18" s="1114"/>
      <c r="P18" s="3207"/>
      <c r="Q18" s="1793"/>
      <c r="R18" s="757"/>
      <c r="S18" s="758"/>
      <c r="T18" s="757"/>
      <c r="U18" s="758"/>
      <c r="V18" s="757"/>
      <c r="W18" s="758"/>
      <c r="X18" s="1796"/>
      <c r="Y18" s="3209"/>
      <c r="Z18" s="1797"/>
      <c r="AA18" s="1794">
        <v>1</v>
      </c>
      <c r="AB18" s="1794">
        <v>1</v>
      </c>
      <c r="AC18" s="2657">
        <v>1</v>
      </c>
    </row>
    <row r="19" spans="1:29" ht="15">
      <c r="A19" s="419"/>
      <c r="B19" s="620" t="s">
        <v>2676</v>
      </c>
      <c r="C19" s="2658">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207"/>
      <c r="Q19" s="1793" t="str">
        <f>B19</f>
        <v>公共配套设施</v>
      </c>
      <c r="R19" s="757" t="s">
        <v>17</v>
      </c>
      <c r="S19" s="758">
        <f>F19</f>
        <v>100</v>
      </c>
      <c r="T19" s="757" t="s">
        <v>17</v>
      </c>
      <c r="U19" s="758">
        <f>H19</f>
        <v>100</v>
      </c>
      <c r="V19" s="757" t="s">
        <v>17</v>
      </c>
      <c r="W19" s="758">
        <f>J19</f>
        <v>100</v>
      </c>
      <c r="X19" s="1796"/>
      <c r="Y19" s="3209"/>
      <c r="Z19" s="1797" t="str">
        <f>Q19</f>
        <v>公共配套设施</v>
      </c>
      <c r="AA19" s="1794">
        <f t="shared" si="3"/>
        <v>1</v>
      </c>
      <c r="AB19" s="1794">
        <f t="shared" si="4"/>
        <v>1</v>
      </c>
      <c r="AC19" s="2657">
        <f t="shared" si="5"/>
        <v>1</v>
      </c>
    </row>
    <row r="20" spans="1:29" ht="15">
      <c r="A20" s="419"/>
      <c r="B20" s="621"/>
      <c r="C20" s="2594"/>
      <c r="D20" s="439"/>
      <c r="E20" s="2587"/>
      <c r="F20" s="439"/>
      <c r="G20" s="2588"/>
      <c r="H20" s="439"/>
      <c r="I20" s="2588"/>
      <c r="J20" s="439"/>
      <c r="K20" s="606"/>
      <c r="L20" s="1123"/>
      <c r="M20" s="1114"/>
      <c r="N20" s="1114"/>
      <c r="O20" s="1114"/>
      <c r="P20" s="3207"/>
      <c r="Q20" s="1793"/>
      <c r="R20" s="757"/>
      <c r="S20" s="758"/>
      <c r="T20" s="757"/>
      <c r="U20" s="758"/>
      <c r="V20" s="757"/>
      <c r="W20" s="758"/>
      <c r="X20" s="1796"/>
      <c r="Y20" s="3209"/>
      <c r="Z20" s="1797"/>
      <c r="AA20" s="1794">
        <v>1</v>
      </c>
      <c r="AB20" s="1794">
        <v>1</v>
      </c>
      <c r="AC20" s="2657">
        <v>1</v>
      </c>
    </row>
    <row r="21" spans="1:29" ht="15">
      <c r="A21" s="419"/>
      <c r="B21" s="622" t="s">
        <v>2677</v>
      </c>
      <c r="C21" s="2658">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207"/>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2657">
        <f t="shared" ref="AC21" si="10">D21/J21</f>
        <v>1</v>
      </c>
    </row>
    <row r="22" spans="1:29" ht="15">
      <c r="A22" s="419"/>
      <c r="B22" s="622"/>
      <c r="C22" s="2659"/>
      <c r="D22" s="439"/>
      <c r="E22" s="438"/>
      <c r="F22" s="439"/>
      <c r="G22" s="2594"/>
      <c r="H22" s="439"/>
      <c r="I22" s="2594"/>
      <c r="J22" s="439"/>
      <c r="K22" s="1366"/>
      <c r="L22" s="1123"/>
      <c r="M22" s="1114"/>
      <c r="N22" s="1114"/>
      <c r="O22" s="1114"/>
      <c r="P22" s="3207"/>
      <c r="Q22" s="1793"/>
      <c r="R22" s="757"/>
      <c r="S22" s="758"/>
      <c r="T22" s="757"/>
      <c r="U22" s="758"/>
      <c r="V22" s="757"/>
      <c r="W22" s="758"/>
      <c r="X22" s="1796"/>
      <c r="Y22" s="3209"/>
      <c r="Z22" s="1797"/>
      <c r="AA22" s="1794">
        <v>1</v>
      </c>
      <c r="AB22" s="1794">
        <v>1</v>
      </c>
      <c r="AC22" s="2657">
        <v>1</v>
      </c>
    </row>
    <row r="23" spans="1:29" ht="15">
      <c r="A23" s="419"/>
      <c r="B23" s="620" t="s">
        <v>2678</v>
      </c>
      <c r="C23" s="2658">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207"/>
      <c r="Q23" s="1793" t="str">
        <f>B23</f>
        <v>环境质量</v>
      </c>
      <c r="R23" s="757" t="s">
        <v>17</v>
      </c>
      <c r="S23" s="758">
        <f>F23</f>
        <v>100</v>
      </c>
      <c r="T23" s="757" t="s">
        <v>17</v>
      </c>
      <c r="U23" s="758">
        <f>H23</f>
        <v>100</v>
      </c>
      <c r="V23" s="757" t="s">
        <v>17</v>
      </c>
      <c r="W23" s="758">
        <f>J23</f>
        <v>100</v>
      </c>
      <c r="X23" s="1796"/>
      <c r="Y23" s="3209"/>
      <c r="Z23" s="1797" t="str">
        <f>Q23</f>
        <v>环境质量</v>
      </c>
      <c r="AA23" s="1794">
        <f t="shared" si="3"/>
        <v>1</v>
      </c>
      <c r="AB23" s="1794">
        <f t="shared" si="4"/>
        <v>1</v>
      </c>
      <c r="AC23" s="2657">
        <f t="shared" si="5"/>
        <v>1</v>
      </c>
    </row>
    <row r="24" spans="1:29" ht="15">
      <c r="A24" s="419"/>
      <c r="B24" s="622"/>
      <c r="C24" s="2594"/>
      <c r="D24" s="439"/>
      <c r="E24" s="2587"/>
      <c r="F24" s="439"/>
      <c r="G24" s="2588"/>
      <c r="H24" s="439"/>
      <c r="I24" s="2588"/>
      <c r="J24" s="439"/>
      <c r="K24" s="606"/>
      <c r="L24" s="1123"/>
      <c r="M24" s="1114"/>
      <c r="N24" s="1114"/>
      <c r="O24" s="1114"/>
      <c r="P24" s="3207"/>
      <c r="Q24" s="1793"/>
      <c r="R24" s="757"/>
      <c r="S24" s="758"/>
      <c r="T24" s="757"/>
      <c r="U24" s="758"/>
      <c r="V24" s="757"/>
      <c r="W24" s="758"/>
      <c r="X24" s="1796"/>
      <c r="Y24" s="3209"/>
      <c r="Z24" s="1797"/>
      <c r="AA24" s="1794">
        <v>1</v>
      </c>
      <c r="AB24" s="1794">
        <v>1</v>
      </c>
      <c r="AC24" s="2657">
        <v>1</v>
      </c>
    </row>
    <row r="25" spans="1:29" ht="27">
      <c r="A25" s="395"/>
      <c r="B25" s="620" t="s">
        <v>2679</v>
      </c>
      <c r="C25" s="2598"/>
      <c r="D25" s="426">
        <v>100</v>
      </c>
      <c r="E25" s="425"/>
      <c r="F25" s="426">
        <f>SUMIF(87:87,E26,88:88)-SUMIF(87:87,C26,88:88)+100</f>
        <v>100</v>
      </c>
      <c r="G25" s="2598"/>
      <c r="H25" s="426">
        <f>SUMIF(87:87,G26,88:88)-SUMIF(87:87,C26,88:88)+100</f>
        <v>100</v>
      </c>
      <c r="I25" s="425"/>
      <c r="J25" s="426">
        <f>SUMIF(87:87,I26,88:88)-SUMIF(87:87,C26,88:88)+100</f>
        <v>100</v>
      </c>
      <c r="K25" s="605"/>
      <c r="L25" s="1123"/>
      <c r="M25" s="1114"/>
      <c r="N25" s="1114"/>
      <c r="O25" s="1114"/>
      <c r="P25" s="3207"/>
      <c r="Q25" s="1793" t="str">
        <f>B25</f>
        <v>毗邻道路的类型与等级</v>
      </c>
      <c r="R25" s="757" t="s">
        <v>17</v>
      </c>
      <c r="S25" s="758">
        <f>F25</f>
        <v>100</v>
      </c>
      <c r="T25" s="757" t="s">
        <v>17</v>
      </c>
      <c r="U25" s="758">
        <f>H25</f>
        <v>100</v>
      </c>
      <c r="V25" s="757" t="s">
        <v>17</v>
      </c>
      <c r="W25" s="758">
        <f>J25</f>
        <v>100</v>
      </c>
      <c r="X25" s="1796"/>
      <c r="Y25" s="3209"/>
      <c r="Z25" s="1797" t="str">
        <f>Q25</f>
        <v>毗邻道路的类型与等级</v>
      </c>
      <c r="AA25" s="1794">
        <f t="shared" si="3"/>
        <v>1</v>
      </c>
      <c r="AB25" s="1794">
        <f t="shared" si="4"/>
        <v>1</v>
      </c>
      <c r="AC25" s="2657">
        <f t="shared" si="5"/>
        <v>1</v>
      </c>
    </row>
    <row r="26" spans="1:29" ht="15">
      <c r="A26" s="395"/>
      <c r="B26" s="621"/>
      <c r="C26" s="623"/>
      <c r="D26" s="426"/>
      <c r="E26" s="607"/>
      <c r="F26" s="426"/>
      <c r="G26" s="623"/>
      <c r="H26" s="426"/>
      <c r="I26" s="607"/>
      <c r="J26" s="426"/>
      <c r="K26" s="606"/>
      <c r="L26" s="1123"/>
      <c r="M26" s="1114"/>
      <c r="N26" s="1114"/>
      <c r="O26" s="1114"/>
      <c r="P26" s="3207"/>
      <c r="Q26" s="1793"/>
      <c r="R26" s="757"/>
      <c r="S26" s="758"/>
      <c r="T26" s="757"/>
      <c r="U26" s="758"/>
      <c r="V26" s="757"/>
      <c r="W26" s="758"/>
      <c r="X26" s="1796"/>
      <c r="Y26" s="3209"/>
      <c r="Z26" s="1797"/>
      <c r="AA26" s="1794">
        <v>1</v>
      </c>
      <c r="AB26" s="1794">
        <v>1</v>
      </c>
      <c r="AC26" s="2657">
        <v>1</v>
      </c>
    </row>
    <row r="27" spans="1:29" ht="15">
      <c r="A27" s="419"/>
      <c r="B27" s="621" t="s">
        <v>2647</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207"/>
      <c r="Q27" s="1793" t="str">
        <f t="shared" ref="Q27:Q47" si="11">B27</f>
        <v>楼层</v>
      </c>
      <c r="R27" s="757" t="s">
        <v>17</v>
      </c>
      <c r="S27" s="758">
        <f>F27</f>
        <v>100</v>
      </c>
      <c r="T27" s="757" t="s">
        <v>17</v>
      </c>
      <c r="U27" s="758">
        <f>H27</f>
        <v>100</v>
      </c>
      <c r="V27" s="757" t="s">
        <v>17</v>
      </c>
      <c r="W27" s="758">
        <f>J27</f>
        <v>100</v>
      </c>
      <c r="X27" s="1796"/>
      <c r="Y27" s="3209"/>
      <c r="Z27" s="1797" t="str">
        <f>Q27</f>
        <v>楼层</v>
      </c>
      <c r="AA27" s="1794">
        <f t="shared" si="3"/>
        <v>1</v>
      </c>
      <c r="AB27" s="1794">
        <f t="shared" si="4"/>
        <v>1</v>
      </c>
      <c r="AC27" s="2657">
        <f t="shared" si="5"/>
        <v>1</v>
      </c>
    </row>
    <row r="28" spans="1:29" s="113" customFormat="1" ht="15">
      <c r="A28" s="422"/>
      <c r="B28" s="620" t="s">
        <v>2680</v>
      </c>
      <c r="C28" s="2660"/>
      <c r="D28" s="453">
        <v>100</v>
      </c>
      <c r="E28" s="2648"/>
      <c r="F28" s="453">
        <f>SUMIF(91:91,E28,92:92)-SUMIF(91:91,C28,92:92)+100</f>
        <v>100</v>
      </c>
      <c r="G28" s="2660"/>
      <c r="H28" s="453">
        <f>SUMIF(91:91,G28,92:92)-SUMIF(91:91,C28,92:92)+100</f>
        <v>100</v>
      </c>
      <c r="I28" s="2648"/>
      <c r="J28" s="453">
        <f>SUMIF(91:91,I28,92:92)-SUMIF(91:91,C28,92:92)+100</f>
        <v>100</v>
      </c>
      <c r="K28" s="603"/>
      <c r="L28" s="1115"/>
      <c r="M28" s="1116"/>
      <c r="N28" s="1116"/>
      <c r="O28" s="1116"/>
      <c r="P28" s="3207"/>
      <c r="Q28" s="1778" t="str">
        <f t="shared" si="11"/>
        <v>朝向</v>
      </c>
      <c r="R28" s="753" t="s">
        <v>17</v>
      </c>
      <c r="S28" s="754">
        <f>F28</f>
        <v>100</v>
      </c>
      <c r="T28" s="753" t="s">
        <v>17</v>
      </c>
      <c r="U28" s="754">
        <f>H28</f>
        <v>100</v>
      </c>
      <c r="V28" s="753" t="s">
        <v>17</v>
      </c>
      <c r="W28" s="754">
        <f>J28</f>
        <v>100</v>
      </c>
      <c r="X28" s="755"/>
      <c r="Y28" s="3209"/>
      <c r="Z28" s="55" t="str">
        <f>Q28</f>
        <v>朝向</v>
      </c>
      <c r="AA28" s="1794">
        <f>D28/F28</f>
        <v>1</v>
      </c>
      <c r="AB28" s="1794">
        <f>D28/H28</f>
        <v>1</v>
      </c>
      <c r="AC28" s="2657">
        <f>D28/J28</f>
        <v>1</v>
      </c>
    </row>
    <row r="29" spans="1:29" ht="15">
      <c r="A29" s="419"/>
      <c r="B29" s="2661">
        <v>111</v>
      </c>
      <c r="C29" s="2598"/>
      <c r="D29" s="426">
        <v>100</v>
      </c>
      <c r="E29" s="423"/>
      <c r="F29" s="426">
        <f>SUMIF(93:93,E29,94:94)-SUMIF(93:93,C29,94:94)+100</f>
        <v>100</v>
      </c>
      <c r="G29" s="2655"/>
      <c r="H29" s="426">
        <f>SUMIF(93:93,G29,94:94)-SUMIF(93:93,C29,94:94)+100</f>
        <v>100</v>
      </c>
      <c r="I29" s="423"/>
      <c r="J29" s="426">
        <f>SUMIF(93:93,I29,94:94)-SUMIF(93:93,C29,94:94)+100</f>
        <v>100</v>
      </c>
      <c r="K29" s="604"/>
      <c r="L29" s="1123"/>
      <c r="M29" s="1114"/>
      <c r="N29" s="1114"/>
      <c r="O29" s="1114"/>
      <c r="P29" s="3207"/>
      <c r="Q29" s="1793">
        <f t="shared" si="11"/>
        <v>111</v>
      </c>
      <c r="R29" s="757" t="s">
        <v>17</v>
      </c>
      <c r="S29" s="758">
        <f t="shared" ref="S29:S47" si="12">F29</f>
        <v>100</v>
      </c>
      <c r="T29" s="757" t="s">
        <v>17</v>
      </c>
      <c r="U29" s="758">
        <f t="shared" ref="U29:U47" si="13">H29</f>
        <v>100</v>
      </c>
      <c r="V29" s="757" t="s">
        <v>17</v>
      </c>
      <c r="W29" s="758">
        <f t="shared" ref="W29:W47" si="14">J29</f>
        <v>100</v>
      </c>
      <c r="X29" s="1796"/>
      <c r="Y29" s="3209"/>
      <c r="Z29" s="1797">
        <f t="shared" ref="Z29:Z47" si="15">Q29</f>
        <v>111</v>
      </c>
      <c r="AA29" s="1794">
        <f t="shared" si="3"/>
        <v>1</v>
      </c>
      <c r="AB29" s="1794">
        <f t="shared" si="4"/>
        <v>1</v>
      </c>
      <c r="AC29" s="2657">
        <f t="shared" si="5"/>
        <v>1</v>
      </c>
    </row>
    <row r="30" spans="1:29" ht="15">
      <c r="A30" s="419"/>
      <c r="B30" s="2661">
        <v>111</v>
      </c>
      <c r="C30" s="2598"/>
      <c r="D30" s="426">
        <v>100</v>
      </c>
      <c r="E30" s="423"/>
      <c r="F30" s="426">
        <f>SUMIF(95:95,E30,96:96)-SUMIF(95:95,C30,96:96)+100</f>
        <v>100</v>
      </c>
      <c r="G30" s="2655"/>
      <c r="H30" s="426">
        <f>SUMIF(95:95,G30,96:96)-SUMIF(95:95,C30,96:96)+100</f>
        <v>100</v>
      </c>
      <c r="I30" s="423"/>
      <c r="J30" s="426">
        <f>SUMIF(95:95,I30,96:96)-SUMIF(95:95,C30,96:96)+100</f>
        <v>100</v>
      </c>
      <c r="K30" s="604"/>
      <c r="L30" s="1123"/>
      <c r="M30" s="1114"/>
      <c r="N30" s="1114"/>
      <c r="O30" s="1114"/>
      <c r="P30" s="3207"/>
      <c r="Q30" s="1793">
        <f t="shared" si="11"/>
        <v>111</v>
      </c>
      <c r="R30" s="757" t="s">
        <v>17</v>
      </c>
      <c r="S30" s="758">
        <f t="shared" si="12"/>
        <v>100</v>
      </c>
      <c r="T30" s="757" t="s">
        <v>17</v>
      </c>
      <c r="U30" s="758">
        <f t="shared" si="13"/>
        <v>100</v>
      </c>
      <c r="V30" s="757" t="s">
        <v>17</v>
      </c>
      <c r="W30" s="758">
        <f t="shared" si="14"/>
        <v>100</v>
      </c>
      <c r="X30" s="1796"/>
      <c r="Y30" s="3209"/>
      <c r="Z30" s="1797">
        <f t="shared" si="15"/>
        <v>111</v>
      </c>
      <c r="AA30" s="1794">
        <f t="shared" si="3"/>
        <v>1</v>
      </c>
      <c r="AB30" s="1794">
        <f t="shared" si="4"/>
        <v>1</v>
      </c>
      <c r="AC30" s="2657">
        <f t="shared" si="5"/>
        <v>1</v>
      </c>
    </row>
    <row r="31" spans="1:29" ht="15">
      <c r="A31" s="419"/>
      <c r="B31" s="2661">
        <v>111</v>
      </c>
      <c r="C31" s="2598"/>
      <c r="D31" s="426">
        <v>100</v>
      </c>
      <c r="E31" s="423"/>
      <c r="F31" s="426">
        <f>SUMIF(97:97,E31,98:98)-SUMIF(97:97,C31,98:98)+100</f>
        <v>100</v>
      </c>
      <c r="G31" s="2655"/>
      <c r="H31" s="426">
        <f>SUMIF(97:97,G31,98:98)-SUMIF(97:97,C31,98:98)+100</f>
        <v>100</v>
      </c>
      <c r="I31" s="423"/>
      <c r="J31" s="426">
        <f>SUMIF(97:97,I31,98:98)-SUMIF(97:97,C31,98:98)+100</f>
        <v>100</v>
      </c>
      <c r="K31" s="604"/>
      <c r="L31" s="1123"/>
      <c r="M31" s="1114"/>
      <c r="N31" s="1114"/>
      <c r="O31" s="1114"/>
      <c r="P31" s="3207"/>
      <c r="Q31" s="1793">
        <f t="shared" si="11"/>
        <v>111</v>
      </c>
      <c r="R31" s="757" t="s">
        <v>17</v>
      </c>
      <c r="S31" s="758">
        <f t="shared" si="12"/>
        <v>100</v>
      </c>
      <c r="T31" s="757" t="s">
        <v>17</v>
      </c>
      <c r="U31" s="758">
        <f t="shared" si="13"/>
        <v>100</v>
      </c>
      <c r="V31" s="757" t="s">
        <v>17</v>
      </c>
      <c r="W31" s="758">
        <f t="shared" si="14"/>
        <v>100</v>
      </c>
      <c r="X31" s="1796"/>
      <c r="Y31" s="3209"/>
      <c r="Z31" s="1797">
        <f t="shared" si="15"/>
        <v>111</v>
      </c>
      <c r="AA31" s="1794">
        <f t="shared" si="3"/>
        <v>1</v>
      </c>
      <c r="AB31" s="1794">
        <f t="shared" si="4"/>
        <v>1</v>
      </c>
      <c r="AC31" s="2657">
        <f t="shared" si="5"/>
        <v>1</v>
      </c>
    </row>
    <row r="32" spans="1:29" ht="15.75" thickBot="1">
      <c r="A32" s="427"/>
      <c r="B32" s="624">
        <v>111</v>
      </c>
      <c r="C32" s="2599"/>
      <c r="D32" s="429">
        <v>100</v>
      </c>
      <c r="E32" s="617"/>
      <c r="F32" s="429">
        <f>SUMIF(99:99,E32,100:100)-SUMIF(99:99,C32,100:100)+100</f>
        <v>100</v>
      </c>
      <c r="G32" s="2655"/>
      <c r="H32" s="429">
        <f>SUMIF(99:99,G32,100:100)-SUMIF(99:99,C32,100:100)+100</f>
        <v>100</v>
      </c>
      <c r="I32" s="423"/>
      <c r="J32" s="429">
        <f>SUMIF(99:99,I32,100:100)-SUMIF(99:99,C32,100:100)+100</f>
        <v>100</v>
      </c>
      <c r="K32" s="604"/>
      <c r="L32" s="1123"/>
      <c r="M32" s="1114"/>
      <c r="N32" s="1114"/>
      <c r="O32" s="1114"/>
      <c r="P32" s="3207"/>
      <c r="Q32" s="1793">
        <f t="shared" si="11"/>
        <v>111</v>
      </c>
      <c r="R32" s="757" t="s">
        <v>17</v>
      </c>
      <c r="S32" s="758">
        <f t="shared" si="12"/>
        <v>100</v>
      </c>
      <c r="T32" s="757" t="s">
        <v>17</v>
      </c>
      <c r="U32" s="758">
        <f t="shared" si="13"/>
        <v>100</v>
      </c>
      <c r="V32" s="757" t="s">
        <v>17</v>
      </c>
      <c r="W32" s="758">
        <f t="shared" si="14"/>
        <v>100</v>
      </c>
      <c r="X32" s="1796"/>
      <c r="Y32" s="3209"/>
      <c r="Z32" s="1797">
        <f t="shared" si="15"/>
        <v>111</v>
      </c>
      <c r="AA32" s="1794">
        <f t="shared" si="3"/>
        <v>1</v>
      </c>
      <c r="AB32" s="1794">
        <f t="shared" si="4"/>
        <v>1</v>
      </c>
      <c r="AC32" s="2657">
        <f t="shared" si="5"/>
        <v>1</v>
      </c>
    </row>
    <row r="33" spans="1:29" ht="15">
      <c r="A33" s="431" t="s">
        <v>2551</v>
      </c>
      <c r="B33" s="70" t="s">
        <v>2681</v>
      </c>
      <c r="C33" s="2662"/>
      <c r="D33" s="458">
        <v>100</v>
      </c>
      <c r="E33" s="2662"/>
      <c r="F33" s="452">
        <f>SUMIF(101:101,E33,102:102)-SUMIF(101:101,C33,102:102)+100</f>
        <v>100</v>
      </c>
      <c r="G33" s="2662"/>
      <c r="H33" s="426">
        <f>SUMIF(101:101,G33,102:102)-SUMIF(101:101,C33,102:102)+100</f>
        <v>100</v>
      </c>
      <c r="I33" s="2662"/>
      <c r="J33" s="458">
        <f>SUMIF(101:101,I33,102:102)-SUMIF(101:101,C33,102:102)+100</f>
        <v>100</v>
      </c>
      <c r="K33" s="603"/>
      <c r="L33" s="1123"/>
      <c r="M33" s="1114"/>
      <c r="N33" s="1114"/>
      <c r="O33" s="1114"/>
      <c r="P33" s="3210" t="s">
        <v>2553</v>
      </c>
      <c r="Q33" s="1793" t="str">
        <f t="shared" si="11"/>
        <v>建筑类型</v>
      </c>
      <c r="R33" s="757" t="s">
        <v>17</v>
      </c>
      <c r="S33" s="758">
        <f t="shared" si="12"/>
        <v>100</v>
      </c>
      <c r="T33" s="757" t="s">
        <v>17</v>
      </c>
      <c r="U33" s="758">
        <f t="shared" si="13"/>
        <v>100</v>
      </c>
      <c r="V33" s="757" t="s">
        <v>17</v>
      </c>
      <c r="W33" s="758">
        <f t="shared" si="14"/>
        <v>100</v>
      </c>
      <c r="X33" s="1796"/>
      <c r="Y33" s="3213" t="s">
        <v>2553</v>
      </c>
      <c r="Z33" s="1797" t="str">
        <f t="shared" si="15"/>
        <v>建筑类型</v>
      </c>
      <c r="AA33" s="1794">
        <f t="shared" si="3"/>
        <v>1</v>
      </c>
      <c r="AB33" s="1794">
        <f t="shared" si="4"/>
        <v>1</v>
      </c>
      <c r="AC33" s="2657">
        <f t="shared" si="5"/>
        <v>1</v>
      </c>
    </row>
    <row r="34" spans="1:29" s="462" customFormat="1" ht="15">
      <c r="A34" s="459"/>
      <c r="B34" s="413" t="s">
        <v>2554</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211"/>
      <c r="Q34" s="759" t="str">
        <f t="shared" si="11"/>
        <v>项目建筑规模</v>
      </c>
      <c r="R34" s="760" t="s">
        <v>17</v>
      </c>
      <c r="S34" s="761" t="e">
        <f t="shared" si="12"/>
        <v>#N/A</v>
      </c>
      <c r="T34" s="760" t="s">
        <v>17</v>
      </c>
      <c r="U34" s="761" t="e">
        <f t="shared" si="13"/>
        <v>#N/A</v>
      </c>
      <c r="V34" s="760" t="s">
        <v>17</v>
      </c>
      <c r="W34" s="761" t="e">
        <f t="shared" si="14"/>
        <v>#N/A</v>
      </c>
      <c r="X34" s="762"/>
      <c r="Y34" s="3213"/>
      <c r="Z34" s="763" t="str">
        <f t="shared" si="15"/>
        <v>项目建筑规模</v>
      </c>
      <c r="AA34" s="1794" t="e">
        <f t="shared" si="3"/>
        <v>#N/A</v>
      </c>
      <c r="AB34" s="1794" t="e">
        <f t="shared" si="4"/>
        <v>#N/A</v>
      </c>
      <c r="AC34" s="2657" t="e">
        <f t="shared" si="5"/>
        <v>#N/A</v>
      </c>
    </row>
    <row r="35" spans="1:29" ht="15">
      <c r="A35" s="463"/>
      <c r="B35" s="413" t="s">
        <v>2555</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211"/>
      <c r="Q35" s="1793" t="str">
        <f t="shared" si="11"/>
        <v>建筑结构</v>
      </c>
      <c r="R35" s="757" t="s">
        <v>17</v>
      </c>
      <c r="S35" s="758">
        <f t="shared" si="12"/>
        <v>100</v>
      </c>
      <c r="T35" s="757" t="s">
        <v>17</v>
      </c>
      <c r="U35" s="758">
        <f t="shared" si="13"/>
        <v>100</v>
      </c>
      <c r="V35" s="757" t="s">
        <v>17</v>
      </c>
      <c r="W35" s="758">
        <f t="shared" si="14"/>
        <v>100</v>
      </c>
      <c r="X35" s="1796"/>
      <c r="Y35" s="3213"/>
      <c r="Z35" s="1797" t="str">
        <f t="shared" si="15"/>
        <v>建筑结构</v>
      </c>
      <c r="AA35" s="1794">
        <f t="shared" si="3"/>
        <v>1</v>
      </c>
      <c r="AB35" s="1794">
        <f t="shared" si="4"/>
        <v>1</v>
      </c>
      <c r="AC35" s="2657">
        <f t="shared" si="5"/>
        <v>1</v>
      </c>
    </row>
    <row r="36" spans="1:29" ht="15">
      <c r="A36" s="463"/>
      <c r="B36" s="413" t="s">
        <v>2649</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211"/>
      <c r="Q36" s="1793" t="str">
        <f t="shared" si="11"/>
        <v>公共部分装修</v>
      </c>
      <c r="R36" s="757" t="s">
        <v>17</v>
      </c>
      <c r="S36" s="758">
        <f t="shared" si="12"/>
        <v>100</v>
      </c>
      <c r="T36" s="757" t="s">
        <v>17</v>
      </c>
      <c r="U36" s="758">
        <f t="shared" si="13"/>
        <v>100</v>
      </c>
      <c r="V36" s="757" t="s">
        <v>17</v>
      </c>
      <c r="W36" s="758">
        <f t="shared" si="14"/>
        <v>100</v>
      </c>
      <c r="X36" s="1796"/>
      <c r="Y36" s="3213"/>
      <c r="Z36" s="1797" t="str">
        <f t="shared" si="15"/>
        <v>公共部分装修</v>
      </c>
      <c r="AA36" s="1794">
        <f t="shared" si="3"/>
        <v>1</v>
      </c>
      <c r="AB36" s="1794">
        <f t="shared" si="4"/>
        <v>1</v>
      </c>
      <c r="AC36" s="2657">
        <f t="shared" si="5"/>
        <v>1</v>
      </c>
    </row>
    <row r="37" spans="1:29" ht="15">
      <c r="A37" s="463"/>
      <c r="B37" s="413" t="s">
        <v>2650</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211"/>
      <c r="Q37" s="1793" t="str">
        <f t="shared" si="11"/>
        <v>成新度</v>
      </c>
      <c r="R37" s="757" t="s">
        <v>17</v>
      </c>
      <c r="S37" s="758" t="e">
        <f t="shared" si="12"/>
        <v>#N/A</v>
      </c>
      <c r="T37" s="757" t="s">
        <v>17</v>
      </c>
      <c r="U37" s="758" t="e">
        <f t="shared" si="13"/>
        <v>#N/A</v>
      </c>
      <c r="V37" s="757" t="s">
        <v>17</v>
      </c>
      <c r="W37" s="758" t="e">
        <f t="shared" si="14"/>
        <v>#N/A</v>
      </c>
      <c r="X37" s="1796"/>
      <c r="Y37" s="3213"/>
      <c r="Z37" s="1797" t="str">
        <f t="shared" si="15"/>
        <v>成新度</v>
      </c>
      <c r="AA37" s="1794" t="e">
        <f t="shared" si="3"/>
        <v>#N/A</v>
      </c>
      <c r="AB37" s="1794" t="e">
        <f t="shared" si="4"/>
        <v>#N/A</v>
      </c>
      <c r="AC37" s="2657" t="e">
        <f t="shared" si="5"/>
        <v>#N/A</v>
      </c>
    </row>
    <row r="38" spans="1:29" s="113" customFormat="1" ht="15">
      <c r="A38" s="464"/>
      <c r="B38" s="413" t="s">
        <v>2682</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211"/>
      <c r="Q38" s="1778" t="str">
        <f t="shared" si="11"/>
        <v>写字楼等级</v>
      </c>
      <c r="R38" s="753" t="s">
        <v>17</v>
      </c>
      <c r="S38" s="754">
        <f t="shared" si="12"/>
        <v>100</v>
      </c>
      <c r="T38" s="753" t="s">
        <v>17</v>
      </c>
      <c r="U38" s="754">
        <f t="shared" si="13"/>
        <v>100</v>
      </c>
      <c r="V38" s="753" t="s">
        <v>17</v>
      </c>
      <c r="W38" s="754">
        <f t="shared" si="14"/>
        <v>100</v>
      </c>
      <c r="X38" s="755"/>
      <c r="Y38" s="3213"/>
      <c r="Z38" s="55" t="str">
        <f t="shared" si="15"/>
        <v>写字楼等级</v>
      </c>
      <c r="AA38" s="756">
        <f t="shared" si="3"/>
        <v>1</v>
      </c>
      <c r="AB38" s="756">
        <f t="shared" si="4"/>
        <v>1</v>
      </c>
      <c r="AC38" s="2654">
        <f t="shared" si="5"/>
        <v>1</v>
      </c>
    </row>
    <row r="39" spans="1:29" ht="15">
      <c r="A39" s="463"/>
      <c r="B39" s="413" t="s">
        <v>2683</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211" t="s">
        <v>2553</v>
      </c>
      <c r="Q39" s="1793" t="str">
        <f t="shared" si="11"/>
        <v>物业管理</v>
      </c>
      <c r="R39" s="757" t="s">
        <v>17</v>
      </c>
      <c r="S39" s="758">
        <f t="shared" si="12"/>
        <v>100</v>
      </c>
      <c r="T39" s="757" t="s">
        <v>17</v>
      </c>
      <c r="U39" s="758">
        <f t="shared" si="13"/>
        <v>100</v>
      </c>
      <c r="V39" s="757" t="s">
        <v>17</v>
      </c>
      <c r="W39" s="758">
        <f t="shared" si="14"/>
        <v>100</v>
      </c>
      <c r="X39" s="1796"/>
      <c r="Y39" s="3213" t="s">
        <v>2553</v>
      </c>
      <c r="Z39" s="1797" t="str">
        <f t="shared" si="15"/>
        <v>物业管理</v>
      </c>
      <c r="AA39" s="1794">
        <f t="shared" si="3"/>
        <v>1</v>
      </c>
      <c r="AB39" s="1794">
        <f t="shared" si="4"/>
        <v>1</v>
      </c>
      <c r="AC39" s="2657">
        <f t="shared" si="5"/>
        <v>1</v>
      </c>
    </row>
    <row r="40" spans="1:29" ht="15">
      <c r="A40" s="463"/>
      <c r="B40" s="413" t="s">
        <v>2651</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211"/>
      <c r="Q40" s="1793" t="str">
        <f t="shared" si="11"/>
        <v>市政基础设施</v>
      </c>
      <c r="R40" s="757" t="s">
        <v>17</v>
      </c>
      <c r="S40" s="758">
        <f t="shared" si="12"/>
        <v>100</v>
      </c>
      <c r="T40" s="757" t="s">
        <v>17</v>
      </c>
      <c r="U40" s="758">
        <f t="shared" si="13"/>
        <v>100</v>
      </c>
      <c r="V40" s="757" t="s">
        <v>17</v>
      </c>
      <c r="W40" s="758">
        <f t="shared" si="14"/>
        <v>100</v>
      </c>
      <c r="X40" s="1796"/>
      <c r="Y40" s="3213"/>
      <c r="Z40" s="1797" t="str">
        <f t="shared" si="15"/>
        <v>市政基础设施</v>
      </c>
      <c r="AA40" s="1794">
        <f t="shared" si="3"/>
        <v>1</v>
      </c>
      <c r="AB40" s="1794">
        <f t="shared" si="4"/>
        <v>1</v>
      </c>
      <c r="AC40" s="2657">
        <f t="shared" si="5"/>
        <v>1</v>
      </c>
    </row>
    <row r="41" spans="1:29" ht="15">
      <c r="A41" s="463"/>
      <c r="B41" s="413" t="s">
        <v>2653</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211"/>
      <c r="Q41" s="1793" t="str">
        <f t="shared" si="11"/>
        <v>层高</v>
      </c>
      <c r="R41" s="757" t="s">
        <v>17</v>
      </c>
      <c r="S41" s="758">
        <f t="shared" si="12"/>
        <v>100</v>
      </c>
      <c r="T41" s="757" t="s">
        <v>17</v>
      </c>
      <c r="U41" s="758">
        <f t="shared" si="13"/>
        <v>100</v>
      </c>
      <c r="V41" s="757" t="s">
        <v>17</v>
      </c>
      <c r="W41" s="758">
        <f t="shared" si="14"/>
        <v>100</v>
      </c>
      <c r="X41" s="1796"/>
      <c r="Y41" s="3213"/>
      <c r="Z41" s="1797" t="str">
        <f t="shared" si="15"/>
        <v>层高</v>
      </c>
      <c r="AA41" s="1794">
        <f t="shared" si="3"/>
        <v>1</v>
      </c>
      <c r="AB41" s="1794">
        <f t="shared" si="4"/>
        <v>1</v>
      </c>
      <c r="AC41" s="2657">
        <f t="shared" si="5"/>
        <v>1</v>
      </c>
    </row>
    <row r="42" spans="1:29" s="462" customFormat="1" ht="15">
      <c r="A42" s="459"/>
      <c r="B42" s="1795" t="s">
        <v>2684</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211"/>
      <c r="Q42" s="759" t="str">
        <f t="shared" si="11"/>
        <v>单套建筑面积</v>
      </c>
      <c r="R42" s="760" t="s">
        <v>17</v>
      </c>
      <c r="S42" s="761">
        <f t="shared" si="12"/>
        <v>100</v>
      </c>
      <c r="T42" s="760" t="s">
        <v>17</v>
      </c>
      <c r="U42" s="761">
        <f t="shared" si="13"/>
        <v>100</v>
      </c>
      <c r="V42" s="760" t="s">
        <v>17</v>
      </c>
      <c r="W42" s="761">
        <f t="shared" si="14"/>
        <v>100</v>
      </c>
      <c r="X42" s="762"/>
      <c r="Y42" s="3213"/>
      <c r="Z42" s="763" t="str">
        <f t="shared" si="15"/>
        <v>单套建筑面积</v>
      </c>
      <c r="AA42" s="1794">
        <f t="shared" si="3"/>
        <v>1</v>
      </c>
      <c r="AB42" s="1794">
        <f t="shared" si="4"/>
        <v>1</v>
      </c>
      <c r="AC42" s="2657">
        <f t="shared" si="5"/>
        <v>1</v>
      </c>
    </row>
    <row r="43" spans="1:29" ht="15">
      <c r="A43" s="463"/>
      <c r="B43" s="413" t="s">
        <v>2656</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211"/>
      <c r="Q43" s="1793" t="str">
        <f t="shared" si="11"/>
        <v>内部装修</v>
      </c>
      <c r="R43" s="757" t="s">
        <v>17</v>
      </c>
      <c r="S43" s="758">
        <f t="shared" si="12"/>
        <v>100</v>
      </c>
      <c r="T43" s="757" t="s">
        <v>17</v>
      </c>
      <c r="U43" s="758">
        <f t="shared" si="13"/>
        <v>100</v>
      </c>
      <c r="V43" s="757" t="s">
        <v>17</v>
      </c>
      <c r="W43" s="758">
        <f t="shared" si="14"/>
        <v>100</v>
      </c>
      <c r="X43" s="1796"/>
      <c r="Y43" s="3213"/>
      <c r="Z43" s="1797" t="str">
        <f t="shared" si="15"/>
        <v>内部装修</v>
      </c>
      <c r="AA43" s="1794">
        <f t="shared" si="3"/>
        <v>1</v>
      </c>
      <c r="AB43" s="1794">
        <f t="shared" si="4"/>
        <v>1</v>
      </c>
      <c r="AC43" s="2657">
        <f t="shared" si="5"/>
        <v>1</v>
      </c>
    </row>
    <row r="44" spans="1:29" ht="15">
      <c r="A44" s="463"/>
      <c r="B44" s="413" t="s">
        <v>2564</v>
      </c>
      <c r="C44" s="451"/>
      <c r="D44" s="426">
        <v>100</v>
      </c>
      <c r="E44" s="2596"/>
      <c r="F44" s="452">
        <f>SUMIF(125:125,E44,126:126)-SUMIF(125:125,C44,126:126)+100</f>
        <v>100</v>
      </c>
      <c r="G44" s="2596"/>
      <c r="H44" s="426">
        <f>SUMIF(125:125,G44,126:126)-SUMIF(125:125,C44,126:126)+100</f>
        <v>100</v>
      </c>
      <c r="I44" s="2596"/>
      <c r="J44" s="426">
        <f>SUMIF(125:125,I44,126:126)-SUMIF(125:125,C44,126:126)+100</f>
        <v>100</v>
      </c>
      <c r="K44" s="603"/>
      <c r="L44" s="1123"/>
      <c r="M44" s="1114"/>
      <c r="N44" s="1114"/>
      <c r="O44" s="1114"/>
      <c r="P44" s="3211"/>
      <c r="Q44" s="1793" t="str">
        <f t="shared" si="11"/>
        <v>内部装修维护情况</v>
      </c>
      <c r="R44" s="757" t="s">
        <v>17</v>
      </c>
      <c r="S44" s="758">
        <f t="shared" si="12"/>
        <v>100</v>
      </c>
      <c r="T44" s="757" t="s">
        <v>17</v>
      </c>
      <c r="U44" s="758">
        <f t="shared" si="13"/>
        <v>100</v>
      </c>
      <c r="V44" s="757" t="s">
        <v>17</v>
      </c>
      <c r="W44" s="758">
        <f t="shared" si="14"/>
        <v>100</v>
      </c>
      <c r="X44" s="1796"/>
      <c r="Y44" s="3213"/>
      <c r="Z44" s="1797" t="str">
        <f t="shared" si="15"/>
        <v>内部装修维护情况</v>
      </c>
      <c r="AA44" s="1794">
        <f t="shared" si="3"/>
        <v>1</v>
      </c>
      <c r="AB44" s="1794">
        <f t="shared" si="4"/>
        <v>1</v>
      </c>
      <c r="AC44" s="2657">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211"/>
      <c r="Q45" s="1778">
        <f t="shared" si="11"/>
        <v>111</v>
      </c>
      <c r="R45" s="753" t="s">
        <v>17</v>
      </c>
      <c r="S45" s="754">
        <f t="shared" si="12"/>
        <v>100</v>
      </c>
      <c r="T45" s="753" t="s">
        <v>17</v>
      </c>
      <c r="U45" s="754">
        <f t="shared" si="13"/>
        <v>100</v>
      </c>
      <c r="V45" s="753" t="s">
        <v>17</v>
      </c>
      <c r="W45" s="754">
        <f t="shared" si="14"/>
        <v>100</v>
      </c>
      <c r="X45" s="755"/>
      <c r="Y45" s="3213"/>
      <c r="Z45" s="55">
        <f t="shared" si="15"/>
        <v>111</v>
      </c>
      <c r="AA45" s="756">
        <f t="shared" si="3"/>
        <v>1</v>
      </c>
      <c r="AB45" s="756">
        <f t="shared" si="4"/>
        <v>1</v>
      </c>
      <c r="AC45" s="2654">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211"/>
      <c r="Q46" s="1793">
        <f t="shared" si="11"/>
        <v>111</v>
      </c>
      <c r="R46" s="757" t="s">
        <v>17</v>
      </c>
      <c r="S46" s="758">
        <f t="shared" si="12"/>
        <v>100</v>
      </c>
      <c r="T46" s="757" t="s">
        <v>17</v>
      </c>
      <c r="U46" s="758">
        <f t="shared" si="13"/>
        <v>100</v>
      </c>
      <c r="V46" s="757" t="s">
        <v>17</v>
      </c>
      <c r="W46" s="758">
        <f t="shared" si="14"/>
        <v>100</v>
      </c>
      <c r="X46" s="1796"/>
      <c r="Y46" s="3213"/>
      <c r="Z46" s="1797">
        <f t="shared" si="15"/>
        <v>111</v>
      </c>
      <c r="AA46" s="1794">
        <f t="shared" si="3"/>
        <v>1</v>
      </c>
      <c r="AB46" s="1794">
        <f t="shared" si="4"/>
        <v>1</v>
      </c>
      <c r="AC46" s="2657">
        <f t="shared" si="5"/>
        <v>1</v>
      </c>
    </row>
    <row r="47" spans="1:29" ht="15.75" thickBot="1">
      <c r="A47" s="469"/>
      <c r="B47" s="2585">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212"/>
      <c r="Q47" s="1793">
        <f t="shared" si="11"/>
        <v>111</v>
      </c>
      <c r="R47" s="757" t="s">
        <v>17</v>
      </c>
      <c r="S47" s="758">
        <f t="shared" si="12"/>
        <v>100</v>
      </c>
      <c r="T47" s="757" t="s">
        <v>17</v>
      </c>
      <c r="U47" s="758">
        <f t="shared" si="13"/>
        <v>100</v>
      </c>
      <c r="V47" s="757" t="s">
        <v>17</v>
      </c>
      <c r="W47" s="758">
        <f t="shared" si="14"/>
        <v>100</v>
      </c>
      <c r="X47" s="1796"/>
      <c r="Y47" s="3214"/>
      <c r="Z47" s="1797">
        <f t="shared" si="15"/>
        <v>111</v>
      </c>
      <c r="AA47" s="1794">
        <f t="shared" si="3"/>
        <v>1</v>
      </c>
      <c r="AB47" s="1794">
        <f t="shared" si="4"/>
        <v>1</v>
      </c>
      <c r="AC47" s="2657">
        <f t="shared" si="5"/>
        <v>1</v>
      </c>
    </row>
    <row r="48" spans="1:29" ht="15">
      <c r="A48" s="470" t="s">
        <v>2565</v>
      </c>
      <c r="B48" s="471"/>
      <c r="C48" s="1390" t="s">
        <v>1</v>
      </c>
      <c r="D48" s="1391"/>
      <c r="E48" s="1392"/>
      <c r="F48" s="1393"/>
      <c r="G48" s="1394"/>
      <c r="H48" s="1395"/>
      <c r="I48" s="1392"/>
      <c r="J48" s="476"/>
      <c r="K48" s="766"/>
      <c r="L48" s="1126"/>
      <c r="M48" s="1114"/>
      <c r="N48" s="1114"/>
      <c r="O48" s="1114"/>
      <c r="P48" s="3218" t="str">
        <f>A48</f>
        <v>成交单价（元/平方米）</v>
      </c>
      <c r="Q48" s="3201"/>
      <c r="R48" s="3202">
        <f>E48</f>
        <v>0</v>
      </c>
      <c r="S48" s="3202"/>
      <c r="T48" s="3202">
        <f>G48</f>
        <v>0</v>
      </c>
      <c r="U48" s="3202"/>
      <c r="V48" s="3202">
        <f>I48</f>
        <v>0</v>
      </c>
      <c r="W48" s="3202"/>
      <c r="X48" s="437"/>
      <c r="Y48" s="764"/>
      <c r="Z48" s="437"/>
      <c r="AA48" s="437"/>
      <c r="AB48" s="437"/>
      <c r="AC48" s="619"/>
    </row>
    <row r="49" spans="1:29" ht="15.75" thickBot="1">
      <c r="A49" s="477" t="s">
        <v>2657</v>
      </c>
      <c r="B49" s="478"/>
      <c r="C49" s="1396" t="e">
        <f>R50</f>
        <v>#DIV/0!</v>
      </c>
      <c r="D49" s="1397"/>
      <c r="E49" s="1398" t="e">
        <f>R49</f>
        <v>#DIV/0!</v>
      </c>
      <c r="F49" s="1398"/>
      <c r="G49" s="1396" t="e">
        <f>T49</f>
        <v>#DIV/0!</v>
      </c>
      <c r="H49" s="1397"/>
      <c r="I49" s="1398" t="e">
        <f>V49</f>
        <v>#DIV/0!</v>
      </c>
      <c r="J49" s="480"/>
      <c r="K49" s="767"/>
      <c r="L49" s="1126"/>
      <c r="M49" s="1114"/>
      <c r="N49" s="1114"/>
      <c r="O49" s="1114"/>
      <c r="P49" s="3218"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37"/>
      <c r="Y49" s="437"/>
      <c r="Z49" s="437"/>
      <c r="AA49" s="437"/>
      <c r="AB49" s="437"/>
      <c r="AC49" s="619"/>
    </row>
    <row r="50" spans="1:29" ht="15.75" thickBot="1">
      <c r="A50" s="483" t="s">
        <v>2658</v>
      </c>
      <c r="B50" s="484"/>
      <c r="C50" s="1400" t="e">
        <f>R50</f>
        <v>#DIV/0!</v>
      </c>
      <c r="D50" s="1400"/>
      <c r="E50" s="1400"/>
      <c r="F50" s="1400"/>
      <c r="G50" s="1400"/>
      <c r="H50" s="1400"/>
      <c r="I50" s="1400"/>
      <c r="J50" s="485"/>
      <c r="K50" s="768"/>
      <c r="L50" s="1126"/>
      <c r="M50" s="1114"/>
      <c r="N50" s="1114"/>
      <c r="O50" s="1114"/>
      <c r="P50" s="3285" t="str">
        <f>A50</f>
        <v>估价对象XX用房的比较价值（楼面单价，元/平方米）</v>
      </c>
      <c r="Q50" s="3286"/>
      <c r="R50" s="3287" t="e">
        <f>IF(F1="售价",ROUND(AVERAGE(R49:V49),0),ROUND(AVERAGE(R49:V49),1))</f>
        <v>#DIV/0!</v>
      </c>
      <c r="S50" s="3287"/>
      <c r="T50" s="3287"/>
      <c r="U50" s="3287"/>
      <c r="V50" s="3287"/>
      <c r="W50" s="3287"/>
      <c r="X50" s="2637"/>
      <c r="Y50" s="2637"/>
      <c r="Z50" s="2637"/>
      <c r="AA50" s="2637"/>
      <c r="AB50" s="2637"/>
      <c r="AC50" s="2638"/>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2659</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2660</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2661</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3"/>
    </row>
    <row r="56" spans="1:29" s="493" customFormat="1">
      <c r="A56" s="1128"/>
      <c r="B56" s="1129"/>
      <c r="C56" s="1133"/>
      <c r="D56" s="1128"/>
      <c r="E56" s="1128"/>
      <c r="F56" s="1128"/>
      <c r="G56" s="1128"/>
      <c r="H56" s="1128"/>
      <c r="I56" s="1128"/>
      <c r="J56" s="1128"/>
      <c r="K56" s="1131"/>
      <c r="L56" s="1132"/>
      <c r="M56" s="1128"/>
      <c r="N56" s="1128"/>
      <c r="O56" s="1128"/>
      <c r="P56" s="2663"/>
    </row>
    <row r="57" spans="1:29">
      <c r="A57" s="1127"/>
      <c r="B57" s="1129"/>
      <c r="C57" s="1133"/>
      <c r="D57" s="1127"/>
      <c r="E57" s="1127"/>
      <c r="F57" s="1127"/>
      <c r="G57" s="1127"/>
      <c r="H57" s="1127"/>
      <c r="I57" s="1127"/>
      <c r="J57" s="1127"/>
      <c r="K57" s="1088"/>
      <c r="L57" s="1089"/>
      <c r="M57" s="1127"/>
      <c r="N57" s="1127"/>
      <c r="O57" s="1127"/>
    </row>
    <row r="58" spans="1:29" ht="21.75" thickBot="1">
      <c r="A58" s="746" t="s">
        <v>2662</v>
      </c>
      <c r="B58" s="742"/>
      <c r="C58" s="747"/>
      <c r="D58" s="747"/>
      <c r="E58" s="747"/>
      <c r="F58" s="748"/>
      <c r="G58" s="748"/>
      <c r="H58" s="747"/>
      <c r="I58" s="747"/>
      <c r="J58" s="747"/>
      <c r="K58" s="749"/>
      <c r="L58" s="1144"/>
      <c r="M58" s="1142"/>
      <c r="N58" s="1142"/>
      <c r="O58" s="1142"/>
      <c r="P58" s="2664"/>
      <c r="Q58" s="495"/>
    </row>
    <row r="59" spans="1:29" s="499" customFormat="1" ht="15">
      <c r="A59" s="496" t="s">
        <v>2536</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ht="15">
      <c r="A60" s="500"/>
      <c r="B60" s="501"/>
      <c r="C60" s="1556">
        <v>100</v>
      </c>
      <c r="D60" s="503"/>
      <c r="E60" s="503"/>
      <c r="F60" s="503"/>
      <c r="G60" s="503"/>
      <c r="H60" s="503"/>
      <c r="I60" s="503"/>
      <c r="J60" s="503"/>
      <c r="K60" s="503"/>
      <c r="L60" s="503"/>
      <c r="M60" s="504"/>
      <c r="N60" s="503"/>
      <c r="O60" s="504"/>
      <c r="P60" s="2665"/>
    </row>
    <row r="61" spans="1:29" s="113" customFormat="1" ht="15.75" thickBot="1">
      <c r="A61" s="506" t="s">
        <v>2573</v>
      </c>
      <c r="B61" s="507"/>
      <c r="C61" s="508"/>
      <c r="D61" s="509"/>
      <c r="E61" s="509"/>
      <c r="F61" s="509"/>
      <c r="G61" s="509"/>
      <c r="H61" s="509"/>
      <c r="I61" s="509"/>
      <c r="J61" s="509"/>
      <c r="K61" s="509"/>
      <c r="L61" s="509"/>
      <c r="M61" s="510"/>
      <c r="N61" s="509"/>
      <c r="O61" s="510"/>
      <c r="P61" s="2665"/>
      <c r="Q61" s="495"/>
    </row>
    <row r="62" spans="1:29" s="113" customFormat="1" ht="15">
      <c r="A62" s="512" t="s">
        <v>2538</v>
      </c>
      <c r="B62" s="501"/>
      <c r="C62" s="513" t="s">
        <v>2640</v>
      </c>
      <c r="D62" s="514"/>
      <c r="E62" s="514"/>
      <c r="F62" s="514"/>
      <c r="G62" s="514"/>
      <c r="H62" s="514"/>
      <c r="I62" s="514"/>
      <c r="J62" s="514"/>
      <c r="K62" s="514"/>
      <c r="L62" s="515"/>
      <c r="M62" s="516"/>
      <c r="N62" s="1134"/>
      <c r="O62" s="1134"/>
      <c r="P62" s="2666"/>
      <c r="Q62" s="495"/>
    </row>
    <row r="63" spans="1:29" s="113" customFormat="1" ht="15.75" thickBot="1">
      <c r="A63" s="512"/>
      <c r="B63" s="501"/>
      <c r="C63" s="502">
        <v>100</v>
      </c>
      <c r="D63" s="503"/>
      <c r="E63" s="503"/>
      <c r="F63" s="503"/>
      <c r="G63" s="503"/>
      <c r="H63" s="503"/>
      <c r="I63" s="503"/>
      <c r="J63" s="503"/>
      <c r="K63" s="503"/>
      <c r="L63" s="503"/>
      <c r="M63" s="505"/>
      <c r="N63" s="1134"/>
      <c r="O63" s="1134"/>
      <c r="P63" s="2665"/>
      <c r="Q63" s="495"/>
    </row>
    <row r="64" spans="1:29">
      <c r="A64" s="518" t="s">
        <v>2576</v>
      </c>
      <c r="B64" s="519" t="s">
        <v>2542</v>
      </c>
      <c r="C64" s="520">
        <f>C9</f>
        <v>0</v>
      </c>
      <c r="D64" s="521"/>
      <c r="E64" s="521"/>
      <c r="F64" s="521"/>
      <c r="G64" s="521"/>
      <c r="H64" s="521"/>
      <c r="I64" s="521"/>
      <c r="J64" s="521"/>
      <c r="K64" s="522"/>
      <c r="L64" s="523"/>
      <c r="M64" s="524"/>
      <c r="N64" s="1135"/>
      <c r="O64" s="1135"/>
      <c r="P64" s="2667"/>
      <c r="Q64" s="495"/>
    </row>
    <row r="65" spans="1:17" ht="15.75" thickBot="1">
      <c r="A65" s="525"/>
      <c r="B65" s="526"/>
      <c r="C65" s="527">
        <v>100</v>
      </c>
      <c r="D65" s="527"/>
      <c r="E65" s="527"/>
      <c r="F65" s="527"/>
      <c r="G65" s="527"/>
      <c r="H65" s="527"/>
      <c r="I65" s="527"/>
      <c r="J65" s="527"/>
      <c r="K65" s="527"/>
      <c r="L65" s="527"/>
      <c r="M65" s="528"/>
      <c r="N65" s="1136"/>
      <c r="O65" s="1136"/>
      <c r="P65" s="2667"/>
      <c r="Q65" s="495"/>
    </row>
    <row r="66" spans="1:17" ht="27.75" thickTop="1">
      <c r="A66" s="525"/>
      <c r="B66" s="529" t="s">
        <v>2545</v>
      </c>
      <c r="C66" s="530" t="s">
        <v>2577</v>
      </c>
      <c r="D66" s="530" t="s">
        <v>2578</v>
      </c>
      <c r="E66" s="530" t="s">
        <v>2579</v>
      </c>
      <c r="F66" s="530" t="s">
        <v>2580</v>
      </c>
      <c r="G66" s="530" t="s">
        <v>2581</v>
      </c>
      <c r="H66" s="530" t="s">
        <v>2582</v>
      </c>
      <c r="I66" s="530" t="s">
        <v>2583</v>
      </c>
      <c r="J66" s="530"/>
      <c r="K66" s="531"/>
      <c r="L66" s="532"/>
      <c r="M66" s="533"/>
      <c r="N66" s="1135"/>
      <c r="O66" s="1135"/>
      <c r="P66" s="2667"/>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7"/>
      <c r="Q67" s="495"/>
    </row>
    <row r="68" spans="1:17" ht="15.75" thickTop="1">
      <c r="A68" s="525"/>
      <c r="B68" s="537" t="s">
        <v>2546</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7"/>
      <c r="Q68" s="495"/>
    </row>
    <row r="69" spans="1:17" ht="15">
      <c r="A69" s="525"/>
      <c r="B69" s="539"/>
      <c r="C69" s="540"/>
      <c r="D69" s="540"/>
      <c r="E69" s="540"/>
      <c r="F69" s="540"/>
      <c r="G69" s="540"/>
      <c r="H69" s="540"/>
      <c r="I69" s="540"/>
      <c r="J69" s="540"/>
      <c r="K69" s="541"/>
      <c r="L69" s="542"/>
      <c r="M69" s="543"/>
      <c r="N69" s="1135"/>
      <c r="O69" s="1135"/>
      <c r="P69" s="2667"/>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7"/>
      <c r="Q70" s="495"/>
    </row>
    <row r="71" spans="1:17" s="462" customFormat="1" ht="15.75" thickTop="1">
      <c r="A71" s="544"/>
      <c r="B71" s="529">
        <f>B12</f>
        <v>111</v>
      </c>
      <c r="C71" s="545"/>
      <c r="D71" s="545"/>
      <c r="E71" s="545"/>
      <c r="F71" s="545"/>
      <c r="G71" s="545"/>
      <c r="H71" s="546"/>
      <c r="I71" s="546"/>
      <c r="J71" s="546"/>
      <c r="K71" s="546"/>
      <c r="L71" s="547"/>
      <c r="M71" s="548"/>
      <c r="N71" s="1137"/>
      <c r="O71" s="1137"/>
      <c r="P71" s="2668"/>
      <c r="Q71" s="550"/>
    </row>
    <row r="72" spans="1:17" s="462" customFormat="1" ht="15.75" thickBot="1">
      <c r="A72" s="544"/>
      <c r="B72" s="534"/>
      <c r="C72" s="551"/>
      <c r="D72" s="527"/>
      <c r="E72" s="527"/>
      <c r="F72" s="527"/>
      <c r="G72" s="527"/>
      <c r="H72" s="527"/>
      <c r="I72" s="527"/>
      <c r="J72" s="527"/>
      <c r="K72" s="527"/>
      <c r="L72" s="527"/>
      <c r="M72" s="528"/>
      <c r="N72" s="1136"/>
      <c r="O72" s="1136"/>
      <c r="P72" s="2668"/>
      <c r="Q72" s="550"/>
    </row>
    <row r="73" spans="1:17" s="462" customFormat="1" ht="15.75" thickTop="1">
      <c r="A73" s="544"/>
      <c r="B73" s="529">
        <f>B13</f>
        <v>111</v>
      </c>
      <c r="C73" s="545"/>
      <c r="D73" s="545"/>
      <c r="E73" s="545"/>
      <c r="F73" s="545"/>
      <c r="G73" s="545"/>
      <c r="H73" s="546"/>
      <c r="I73" s="546"/>
      <c r="J73" s="546"/>
      <c r="K73" s="546"/>
      <c r="L73" s="547"/>
      <c r="M73" s="548"/>
      <c r="N73" s="1137"/>
      <c r="O73" s="1137"/>
      <c r="P73" s="2669"/>
      <c r="Q73" s="552"/>
    </row>
    <row r="74" spans="1:17" s="462" customFormat="1" ht="15.75" thickBot="1">
      <c r="A74" s="544"/>
      <c r="B74" s="534"/>
      <c r="C74" s="551"/>
      <c r="D74" s="551"/>
      <c r="E74" s="551"/>
      <c r="F74" s="551"/>
      <c r="G74" s="551"/>
      <c r="H74" s="553"/>
      <c r="I74" s="553"/>
      <c r="J74" s="553"/>
      <c r="K74" s="553"/>
      <c r="L74" s="553"/>
      <c r="M74" s="554"/>
      <c r="N74" s="1137"/>
      <c r="O74" s="1137"/>
      <c r="P74" s="2668"/>
      <c r="Q74" s="550"/>
    </row>
    <row r="75" spans="1:17" s="462" customFormat="1" ht="15.75" thickTop="1">
      <c r="A75" s="544"/>
      <c r="B75" s="537">
        <f>B14</f>
        <v>111</v>
      </c>
      <c r="C75" s="514"/>
      <c r="D75" s="514"/>
      <c r="E75" s="514"/>
      <c r="F75" s="514"/>
      <c r="G75" s="514"/>
      <c r="H75" s="555"/>
      <c r="I75" s="555"/>
      <c r="J75" s="555"/>
      <c r="K75" s="555"/>
      <c r="L75" s="556"/>
      <c r="M75" s="557"/>
      <c r="N75" s="1137"/>
      <c r="O75" s="1137"/>
      <c r="P75" s="2670"/>
      <c r="Q75" s="550"/>
    </row>
    <row r="76" spans="1:17" s="462" customFormat="1" ht="15.75" thickBot="1">
      <c r="A76" s="559"/>
      <c r="B76" s="560"/>
      <c r="C76" s="561"/>
      <c r="D76" s="561"/>
      <c r="E76" s="561"/>
      <c r="F76" s="561"/>
      <c r="G76" s="561"/>
      <c r="H76" s="562"/>
      <c r="I76" s="562"/>
      <c r="J76" s="562"/>
      <c r="K76" s="562"/>
      <c r="L76" s="562"/>
      <c r="M76" s="563"/>
      <c r="N76" s="1137"/>
      <c r="O76" s="1137"/>
      <c r="P76" s="2668"/>
      <c r="Q76" s="550"/>
    </row>
    <row r="77" spans="1:17">
      <c r="A77" s="518" t="s">
        <v>2547</v>
      </c>
      <c r="B77" s="519" t="s">
        <v>2685</v>
      </c>
      <c r="C77" s="564" t="s">
        <v>2585</v>
      </c>
      <c r="D77" s="564" t="s">
        <v>2586</v>
      </c>
      <c r="E77" s="564" t="s">
        <v>2587</v>
      </c>
      <c r="F77" s="564" t="s">
        <v>2588</v>
      </c>
      <c r="G77" s="564" t="s">
        <v>2589</v>
      </c>
      <c r="H77" s="520"/>
      <c r="I77" s="520"/>
      <c r="J77" s="520"/>
      <c r="K77" s="565"/>
      <c r="L77" s="566"/>
      <c r="M77" s="567"/>
      <c r="N77" s="1135"/>
      <c r="O77" s="1135"/>
      <c r="P77" s="2671"/>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7"/>
      <c r="Q78" s="495"/>
    </row>
    <row r="79" spans="1:17" ht="15.75" thickTop="1">
      <c r="A79" s="525"/>
      <c r="B79" s="529" t="s">
        <v>2590</v>
      </c>
      <c r="C79" s="569" t="s">
        <v>2585</v>
      </c>
      <c r="D79" s="569" t="s">
        <v>2586</v>
      </c>
      <c r="E79" s="569" t="s">
        <v>2587</v>
      </c>
      <c r="F79" s="569" t="s">
        <v>2588</v>
      </c>
      <c r="G79" s="569" t="s">
        <v>2589</v>
      </c>
      <c r="H79" s="530"/>
      <c r="I79" s="530"/>
      <c r="J79" s="530"/>
      <c r="K79" s="531"/>
      <c r="L79" s="532"/>
      <c r="M79" s="533"/>
      <c r="N79" s="1135"/>
      <c r="O79" s="1135"/>
      <c r="P79" s="2667"/>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7"/>
      <c r="Q80" s="495"/>
    </row>
    <row r="81" spans="1:17" ht="15.75" thickTop="1">
      <c r="A81" s="525"/>
      <c r="B81" s="529" t="s">
        <v>2591</v>
      </c>
      <c r="C81" s="569" t="s">
        <v>2585</v>
      </c>
      <c r="D81" s="569" t="s">
        <v>2586</v>
      </c>
      <c r="E81" s="569" t="s">
        <v>2587</v>
      </c>
      <c r="F81" s="569" t="s">
        <v>2588</v>
      </c>
      <c r="G81" s="569" t="s">
        <v>2589</v>
      </c>
      <c r="H81" s="530"/>
      <c r="I81" s="530"/>
      <c r="J81" s="530"/>
      <c r="K81" s="531"/>
      <c r="L81" s="532"/>
      <c r="M81" s="533"/>
      <c r="N81" s="1135"/>
      <c r="O81" s="1135"/>
      <c r="P81" s="2667"/>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7"/>
      <c r="Q82" s="495"/>
    </row>
    <row r="83" spans="1:17" ht="15.75" thickTop="1">
      <c r="A83" s="525"/>
      <c r="B83" s="537" t="s">
        <v>2677</v>
      </c>
      <c r="C83" s="649" t="s">
        <v>2663</v>
      </c>
      <c r="D83" s="649" t="s">
        <v>2664</v>
      </c>
      <c r="E83" s="649" t="s">
        <v>2665</v>
      </c>
      <c r="F83" s="649" t="s">
        <v>2666</v>
      </c>
      <c r="G83" s="649" t="s">
        <v>2667</v>
      </c>
      <c r="H83" s="530"/>
      <c r="I83" s="530"/>
      <c r="J83" s="530"/>
      <c r="K83" s="530"/>
      <c r="L83" s="530"/>
      <c r="M83" s="1365"/>
      <c r="N83" s="1136"/>
      <c r="O83" s="1136"/>
      <c r="P83" s="2667"/>
      <c r="Q83" s="495"/>
    </row>
    <row r="84" spans="1:17" ht="15.75"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7"/>
      <c r="Q84" s="495"/>
    </row>
    <row r="85" spans="1:17" ht="15.75" thickTop="1">
      <c r="A85" s="525"/>
      <c r="B85" s="529" t="s">
        <v>2686</v>
      </c>
      <c r="C85" s="569" t="s">
        <v>2585</v>
      </c>
      <c r="D85" s="569" t="s">
        <v>2586</v>
      </c>
      <c r="E85" s="569" t="s">
        <v>2587</v>
      </c>
      <c r="F85" s="569" t="s">
        <v>2588</v>
      </c>
      <c r="G85" s="569" t="s">
        <v>2589</v>
      </c>
      <c r="H85" s="530"/>
      <c r="I85" s="530"/>
      <c r="J85" s="530"/>
      <c r="K85" s="531"/>
      <c r="L85" s="532"/>
      <c r="M85" s="533"/>
      <c r="N85" s="1135"/>
      <c r="O85" s="1135"/>
      <c r="P85" s="2667"/>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7"/>
      <c r="Q86" s="495"/>
    </row>
    <row r="87" spans="1:17" s="113" customFormat="1" ht="27.75" thickTop="1">
      <c r="A87" s="570"/>
      <c r="B87" s="529" t="s">
        <v>2687</v>
      </c>
      <c r="C87" s="545"/>
      <c r="D87" s="545"/>
      <c r="E87" s="545"/>
      <c r="F87" s="545"/>
      <c r="G87" s="545"/>
      <c r="H87" s="545"/>
      <c r="I87" s="545"/>
      <c r="J87" s="545"/>
      <c r="K87" s="545"/>
      <c r="L87" s="571"/>
      <c r="M87" s="572"/>
      <c r="N87" s="1134"/>
      <c r="O87" s="1134"/>
      <c r="P87" s="2667"/>
      <c r="Q87" s="495"/>
    </row>
    <row r="88" spans="1:17" s="113"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7"/>
      <c r="Q88" s="495"/>
    </row>
    <row r="89" spans="1:17" s="113" customFormat="1" ht="15.75" thickTop="1">
      <c r="A89" s="570"/>
      <c r="B89" s="529" t="str">
        <f>B27</f>
        <v>楼层</v>
      </c>
      <c r="C89" s="545"/>
      <c r="D89" s="545"/>
      <c r="E89" s="545"/>
      <c r="F89" s="2618"/>
      <c r="G89" s="545"/>
      <c r="H89" s="545"/>
      <c r="I89" s="545"/>
      <c r="J89" s="545"/>
      <c r="K89" s="545"/>
      <c r="L89" s="545"/>
      <c r="M89" s="572"/>
      <c r="N89" s="1134"/>
      <c r="O89" s="1134"/>
      <c r="P89" s="2667"/>
      <c r="Q89" s="495"/>
    </row>
    <row r="90" spans="1:17" s="113"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7"/>
      <c r="Q90" s="495"/>
    </row>
    <row r="91" spans="1:17" s="462" customFormat="1" ht="15.75" thickTop="1">
      <c r="A91" s="544"/>
      <c r="B91" s="529" t="str">
        <f>B28</f>
        <v>朝向</v>
      </c>
      <c r="C91" s="545"/>
      <c r="D91" s="545"/>
      <c r="E91" s="545"/>
      <c r="F91" s="545"/>
      <c r="G91" s="545"/>
      <c r="H91" s="546"/>
      <c r="I91" s="546"/>
      <c r="J91" s="546"/>
      <c r="K91" s="546"/>
      <c r="L91" s="547"/>
      <c r="M91" s="548"/>
      <c r="N91" s="1137"/>
      <c r="O91" s="1137"/>
      <c r="P91" s="2668"/>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8"/>
      <c r="Q92" s="550"/>
    </row>
    <row r="93" spans="1:17" ht="15.75" thickTop="1">
      <c r="A93" s="525"/>
      <c r="B93" s="529">
        <f>B29</f>
        <v>111</v>
      </c>
      <c r="C93" s="545"/>
      <c r="D93" s="545"/>
      <c r="E93" s="545"/>
      <c r="F93" s="545"/>
      <c r="G93" s="545"/>
      <c r="H93" s="545"/>
      <c r="I93" s="545"/>
      <c r="J93" s="545"/>
      <c r="K93" s="545"/>
      <c r="L93" s="571"/>
      <c r="M93" s="572"/>
      <c r="N93" s="1135"/>
      <c r="O93" s="1135"/>
      <c r="P93" s="2667"/>
      <c r="Q93" s="495"/>
    </row>
    <row r="94" spans="1:17" ht="15.75" thickBot="1">
      <c r="A94" s="525"/>
      <c r="B94" s="534"/>
      <c r="C94" s="551"/>
      <c r="D94" s="527"/>
      <c r="E94" s="527"/>
      <c r="F94" s="527"/>
      <c r="G94" s="527"/>
      <c r="H94" s="527"/>
      <c r="I94" s="527"/>
      <c r="J94" s="527"/>
      <c r="K94" s="527"/>
      <c r="L94" s="527"/>
      <c r="M94" s="528"/>
      <c r="N94" s="1136"/>
      <c r="O94" s="1136"/>
      <c r="P94" s="2667"/>
      <c r="Q94" s="495"/>
    </row>
    <row r="95" spans="1:17" ht="15.75" thickTop="1">
      <c r="A95" s="525"/>
      <c r="B95" s="529">
        <f>B30</f>
        <v>111</v>
      </c>
      <c r="C95" s="545"/>
      <c r="D95" s="545"/>
      <c r="E95" s="545"/>
      <c r="F95" s="545"/>
      <c r="G95" s="574"/>
      <c r="H95" s="574"/>
      <c r="I95" s="574"/>
      <c r="J95" s="574"/>
      <c r="K95" s="575"/>
      <c r="L95" s="576"/>
      <c r="M95" s="577"/>
      <c r="N95" s="1135"/>
      <c r="O95" s="1135"/>
      <c r="P95" s="2667"/>
      <c r="Q95" s="495"/>
    </row>
    <row r="96" spans="1:17" ht="15.75" thickBot="1">
      <c r="A96" s="525"/>
      <c r="B96" s="534"/>
      <c r="C96" s="551"/>
      <c r="D96" s="551"/>
      <c r="E96" s="551"/>
      <c r="F96" s="551"/>
      <c r="G96" s="527"/>
      <c r="H96" s="527"/>
      <c r="I96" s="527"/>
      <c r="J96" s="527"/>
      <c r="K96" s="527"/>
      <c r="L96" s="527"/>
      <c r="M96" s="528"/>
      <c r="N96" s="1136"/>
      <c r="O96" s="1136"/>
      <c r="P96" s="2667"/>
      <c r="Q96" s="495"/>
    </row>
    <row r="97" spans="1:17" ht="15.75" thickTop="1">
      <c r="A97" s="525"/>
      <c r="B97" s="529">
        <f>B31</f>
        <v>111</v>
      </c>
      <c r="C97" s="545"/>
      <c r="D97" s="545"/>
      <c r="E97" s="545"/>
      <c r="F97" s="545"/>
      <c r="G97" s="574"/>
      <c r="H97" s="574"/>
      <c r="I97" s="574"/>
      <c r="J97" s="574"/>
      <c r="K97" s="575"/>
      <c r="L97" s="576"/>
      <c r="M97" s="577"/>
      <c r="N97" s="1135"/>
      <c r="O97" s="1135"/>
      <c r="P97" s="2667"/>
      <c r="Q97" s="495"/>
    </row>
    <row r="98" spans="1:17" ht="15.75" thickBot="1">
      <c r="A98" s="525"/>
      <c r="B98" s="534"/>
      <c r="C98" s="551"/>
      <c r="D98" s="527"/>
      <c r="E98" s="527"/>
      <c r="F98" s="527"/>
      <c r="G98" s="527"/>
      <c r="H98" s="527"/>
      <c r="I98" s="527"/>
      <c r="J98" s="527"/>
      <c r="K98" s="527"/>
      <c r="L98" s="527"/>
      <c r="M98" s="528"/>
      <c r="N98" s="1136"/>
      <c r="O98" s="1136"/>
      <c r="P98" s="2667"/>
      <c r="Q98" s="495"/>
    </row>
    <row r="99" spans="1:17" ht="15.75" thickTop="1">
      <c r="A99" s="525"/>
      <c r="B99" s="537">
        <f>B32</f>
        <v>111</v>
      </c>
      <c r="C99" s="514"/>
      <c r="D99" s="514"/>
      <c r="E99" s="514"/>
      <c r="F99" s="514"/>
      <c r="G99" s="578"/>
      <c r="H99" s="578"/>
      <c r="I99" s="578"/>
      <c r="J99" s="578"/>
      <c r="K99" s="579"/>
      <c r="L99" s="580"/>
      <c r="M99" s="581"/>
      <c r="N99" s="1135"/>
      <c r="O99" s="1135"/>
      <c r="P99" s="2667"/>
      <c r="Q99" s="495"/>
    </row>
    <row r="100" spans="1:17" ht="15.75" thickBot="1">
      <c r="A100" s="2619"/>
      <c r="B100" s="560"/>
      <c r="C100" s="561"/>
      <c r="D100" s="561"/>
      <c r="E100" s="561"/>
      <c r="F100" s="561"/>
      <c r="G100" s="582"/>
      <c r="H100" s="582"/>
      <c r="I100" s="582"/>
      <c r="J100" s="582"/>
      <c r="K100" s="582"/>
      <c r="L100" s="582"/>
      <c r="M100" s="583"/>
      <c r="N100" s="1136"/>
      <c r="O100" s="1136"/>
      <c r="P100" s="2667"/>
      <c r="Q100" s="495"/>
    </row>
    <row r="101" spans="1:17">
      <c r="A101" s="518" t="s">
        <v>2551</v>
      </c>
      <c r="B101" s="519" t="s">
        <v>2600</v>
      </c>
      <c r="C101" s="521"/>
      <c r="D101" s="521"/>
      <c r="E101" s="521"/>
      <c r="F101" s="521"/>
      <c r="G101" s="521"/>
      <c r="H101" s="521"/>
      <c r="I101" s="521"/>
      <c r="J101" s="521"/>
      <c r="K101" s="522"/>
      <c r="L101" s="523"/>
      <c r="M101" s="524"/>
      <c r="N101" s="1135"/>
      <c r="O101" s="1135"/>
      <c r="P101" s="2667"/>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7"/>
      <c r="Q102" s="495"/>
    </row>
    <row r="103" spans="1:17" ht="15.75" thickTop="1">
      <c r="A103" s="525"/>
      <c r="B103" s="529" t="s">
        <v>2601</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7"/>
      <c r="Q103" s="495"/>
    </row>
    <row r="104" spans="1:17" s="462" customFormat="1">
      <c r="A104" s="584"/>
      <c r="B104" s="585"/>
      <c r="C104" s="586"/>
      <c r="D104" s="586"/>
      <c r="E104" s="586"/>
      <c r="F104" s="586"/>
      <c r="G104" s="586"/>
      <c r="H104" s="586"/>
      <c r="I104" s="586"/>
      <c r="J104" s="587"/>
      <c r="K104" s="587"/>
      <c r="L104" s="588"/>
      <c r="M104" s="589"/>
      <c r="N104" s="1137"/>
      <c r="O104" s="1137"/>
      <c r="P104" s="2668"/>
      <c r="Q104" s="550"/>
    </row>
    <row r="105" spans="1:17" s="462" customFormat="1" ht="15.75" thickBot="1">
      <c r="A105" s="544"/>
      <c r="B105" s="534"/>
      <c r="C105" s="551"/>
      <c r="D105" s="527"/>
      <c r="E105" s="527"/>
      <c r="F105" s="527"/>
      <c r="G105" s="527"/>
      <c r="H105" s="527"/>
      <c r="I105" s="527"/>
      <c r="J105" s="527"/>
      <c r="K105" s="527"/>
      <c r="L105" s="527"/>
      <c r="M105" s="528"/>
      <c r="N105" s="1136"/>
      <c r="O105" s="1136"/>
      <c r="P105" s="2668"/>
      <c r="Q105" s="550"/>
    </row>
    <row r="106" spans="1:17" ht="15" thickTop="1">
      <c r="A106" s="590"/>
      <c r="B106" s="529" t="s">
        <v>2602</v>
      </c>
      <c r="C106" s="545"/>
      <c r="D106" s="545"/>
      <c r="E106" s="574"/>
      <c r="F106" s="574"/>
      <c r="G106" s="574"/>
      <c r="H106" s="574"/>
      <c r="I106" s="574"/>
      <c r="J106" s="574"/>
      <c r="K106" s="575"/>
      <c r="L106" s="576"/>
      <c r="M106" s="577"/>
      <c r="N106" s="1135"/>
      <c r="O106" s="1135"/>
      <c r="P106" s="2667"/>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7"/>
      <c r="Q107" s="495"/>
    </row>
    <row r="108" spans="1:17" ht="15" thickTop="1">
      <c r="A108" s="590"/>
      <c r="B108" s="529" t="s">
        <v>2604</v>
      </c>
      <c r="C108" s="545"/>
      <c r="D108" s="545"/>
      <c r="E108" s="545"/>
      <c r="F108" s="574"/>
      <c r="G108" s="574"/>
      <c r="H108" s="574"/>
      <c r="I108" s="574"/>
      <c r="J108" s="574"/>
      <c r="K108" s="575"/>
      <c r="L108" s="576"/>
      <c r="M108" s="577"/>
      <c r="N108" s="1135"/>
      <c r="O108" s="1135"/>
      <c r="P108" s="2667"/>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7"/>
      <c r="Q109" s="495"/>
    </row>
    <row r="110" spans="1:17" ht="15" thickTop="1">
      <c r="A110" s="590"/>
      <c r="B110" s="529" t="s">
        <v>1991</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7"/>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7"/>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7"/>
      <c r="Q112" s="495"/>
    </row>
    <row r="113" spans="1:17" s="462" customFormat="1" ht="15" thickTop="1">
      <c r="A113" s="584"/>
      <c r="B113" s="529" t="s">
        <v>2688</v>
      </c>
      <c r="C113" s="545"/>
      <c r="D113" s="545"/>
      <c r="E113" s="545"/>
      <c r="F113" s="545"/>
      <c r="G113" s="545"/>
      <c r="H113" s="574"/>
      <c r="I113" s="574"/>
      <c r="J113" s="574"/>
      <c r="K113" s="575"/>
      <c r="L113" s="576"/>
      <c r="M113" s="577"/>
      <c r="N113" s="1137"/>
      <c r="O113" s="1137"/>
      <c r="P113" s="2668"/>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8"/>
      <c r="Q114" s="550"/>
    </row>
    <row r="115" spans="1:17" ht="15" thickTop="1">
      <c r="A115" s="590"/>
      <c r="B115" s="529" t="s">
        <v>2605</v>
      </c>
      <c r="C115" s="545"/>
      <c r="D115" s="545"/>
      <c r="E115" s="574"/>
      <c r="F115" s="574"/>
      <c r="G115" s="574"/>
      <c r="H115" s="574"/>
      <c r="I115" s="574"/>
      <c r="J115" s="574"/>
      <c r="K115" s="575"/>
      <c r="L115" s="576"/>
      <c r="M115" s="577"/>
      <c r="N115" s="1135"/>
      <c r="O115" s="1135"/>
      <c r="P115" s="2667"/>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7"/>
      <c r="Q116" s="495"/>
    </row>
    <row r="117" spans="1:17" ht="15" thickTop="1">
      <c r="A117" s="590"/>
      <c r="B117" s="529" t="s">
        <v>2606</v>
      </c>
      <c r="C117" s="545"/>
      <c r="D117" s="545"/>
      <c r="E117" s="545"/>
      <c r="F117" s="545"/>
      <c r="G117" s="545"/>
      <c r="H117" s="574"/>
      <c r="I117" s="574"/>
      <c r="J117" s="574"/>
      <c r="K117" s="575"/>
      <c r="L117" s="576"/>
      <c r="M117" s="577"/>
      <c r="N117" s="1135"/>
      <c r="O117" s="1135"/>
      <c r="P117" s="2667"/>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7"/>
      <c r="Q118" s="495"/>
    </row>
    <row r="119" spans="1:17" ht="15" thickTop="1">
      <c r="A119" s="590"/>
      <c r="B119" s="625" t="s">
        <v>2689</v>
      </c>
      <c r="C119" s="574"/>
      <c r="D119" s="574"/>
      <c r="E119" s="574"/>
      <c r="F119" s="574"/>
      <c r="G119" s="574"/>
      <c r="H119" s="574"/>
      <c r="I119" s="574"/>
      <c r="J119" s="574"/>
      <c r="K119" s="574"/>
      <c r="L119" s="2672"/>
      <c r="M119" s="2673"/>
      <c r="N119" s="1136"/>
      <c r="O119" s="1136"/>
      <c r="P119" s="2674"/>
      <c r="Q119" s="627"/>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7"/>
      <c r="Q120" s="495"/>
    </row>
    <row r="121" spans="1:17" s="462" customFormat="1" ht="15" thickTop="1">
      <c r="A121" s="584"/>
      <c r="B121" s="529" t="s">
        <v>2672</v>
      </c>
      <c r="C121" s="545"/>
      <c r="D121" s="545"/>
      <c r="E121" s="545"/>
      <c r="F121" s="574"/>
      <c r="G121" s="546"/>
      <c r="H121" s="546"/>
      <c r="I121" s="546"/>
      <c r="J121" s="546"/>
      <c r="K121" s="546"/>
      <c r="L121" s="547"/>
      <c r="M121" s="548"/>
      <c r="N121" s="1137"/>
      <c r="O121" s="1137"/>
      <c r="P121" s="2668"/>
      <c r="Q121" s="550"/>
    </row>
    <row r="122" spans="1:17" s="462" customFormat="1" ht="15.75" thickBot="1">
      <c r="A122" s="544"/>
      <c r="B122" s="526"/>
      <c r="C122" s="551"/>
      <c r="D122" s="551"/>
      <c r="E122" s="551"/>
      <c r="F122" s="551"/>
      <c r="G122" s="551"/>
      <c r="H122" s="551"/>
      <c r="I122" s="551"/>
      <c r="J122" s="551"/>
      <c r="K122" s="551"/>
      <c r="L122" s="551"/>
      <c r="M122" s="551"/>
      <c r="N122" s="1137"/>
      <c r="O122" s="1137"/>
      <c r="P122" s="2668"/>
      <c r="Q122" s="550"/>
    </row>
    <row r="123" spans="1:17" ht="15" thickTop="1">
      <c r="A123" s="590"/>
      <c r="B123" s="529" t="s">
        <v>2608</v>
      </c>
      <c r="C123" s="545"/>
      <c r="D123" s="545"/>
      <c r="E123" s="545"/>
      <c r="F123" s="574"/>
      <c r="G123" s="574"/>
      <c r="H123" s="574"/>
      <c r="I123" s="574"/>
      <c r="J123" s="574"/>
      <c r="K123" s="575"/>
      <c r="L123" s="576"/>
      <c r="M123" s="577"/>
      <c r="N123" s="1135"/>
      <c r="O123" s="1135"/>
      <c r="P123" s="2667"/>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7"/>
      <c r="Q124" s="495"/>
    </row>
    <row r="125" spans="1:17" ht="15" thickTop="1">
      <c r="A125" s="590"/>
      <c r="B125" s="529" t="s">
        <v>2609</v>
      </c>
      <c r="C125" s="569" t="s">
        <v>2585</v>
      </c>
      <c r="D125" s="569" t="s">
        <v>2586</v>
      </c>
      <c r="E125" s="569" t="s">
        <v>2587</v>
      </c>
      <c r="F125" s="569" t="s">
        <v>2588</v>
      </c>
      <c r="G125" s="569" t="s">
        <v>2589</v>
      </c>
      <c r="H125" s="530"/>
      <c r="I125" s="530"/>
      <c r="J125" s="530"/>
      <c r="K125" s="531"/>
      <c r="L125" s="532"/>
      <c r="M125" s="533"/>
      <c r="N125" s="1135"/>
      <c r="O125" s="1135"/>
      <c r="P125" s="2668"/>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7"/>
      <c r="Q126" s="495"/>
    </row>
    <row r="127" spans="1:17" s="462" customFormat="1" ht="15" thickTop="1">
      <c r="A127" s="584"/>
      <c r="B127" s="529">
        <f>B45</f>
        <v>111</v>
      </c>
      <c r="C127" s="545"/>
      <c r="D127" s="545"/>
      <c r="E127" s="545"/>
      <c r="F127" s="545"/>
      <c r="G127" s="545"/>
      <c r="H127" s="546"/>
      <c r="I127" s="546"/>
      <c r="J127" s="546"/>
      <c r="K127" s="546"/>
      <c r="L127" s="547"/>
      <c r="M127" s="548"/>
      <c r="N127" s="1137"/>
      <c r="O127" s="1137"/>
      <c r="P127" s="2668"/>
      <c r="Q127" s="550"/>
    </row>
    <row r="128" spans="1:17" s="462" customFormat="1" ht="15.75" thickBot="1">
      <c r="A128" s="544"/>
      <c r="B128" s="534"/>
      <c r="C128" s="551"/>
      <c r="D128" s="527"/>
      <c r="E128" s="527"/>
      <c r="F128" s="527"/>
      <c r="G128" s="551"/>
      <c r="H128" s="553"/>
      <c r="I128" s="553"/>
      <c r="J128" s="553"/>
      <c r="K128" s="553"/>
      <c r="L128" s="553"/>
      <c r="M128" s="554"/>
      <c r="N128" s="1137"/>
      <c r="O128" s="1137"/>
      <c r="P128" s="2668"/>
      <c r="Q128" s="550"/>
    </row>
    <row r="129" spans="1:17" ht="15" thickTop="1">
      <c r="A129" s="590"/>
      <c r="B129" s="529">
        <f>B46</f>
        <v>111</v>
      </c>
      <c r="C129" s="545"/>
      <c r="D129" s="545"/>
      <c r="E129" s="545"/>
      <c r="F129" s="545"/>
      <c r="G129" s="574"/>
      <c r="H129" s="574"/>
      <c r="I129" s="574"/>
      <c r="J129" s="574"/>
      <c r="K129" s="575"/>
      <c r="L129" s="576"/>
      <c r="M129" s="577"/>
      <c r="N129" s="1135"/>
      <c r="O129" s="1135"/>
      <c r="P129" s="2667"/>
      <c r="Q129" s="495"/>
    </row>
    <row r="130" spans="1:17" ht="15.75" thickBot="1">
      <c r="A130" s="525"/>
      <c r="B130" s="534"/>
      <c r="C130" s="551"/>
      <c r="D130" s="551"/>
      <c r="E130" s="551"/>
      <c r="F130" s="551"/>
      <c r="G130" s="527"/>
      <c r="H130" s="527"/>
      <c r="I130" s="527"/>
      <c r="J130" s="527"/>
      <c r="K130" s="527"/>
      <c r="L130" s="527"/>
      <c r="M130" s="528"/>
      <c r="N130" s="1136"/>
      <c r="O130" s="1136"/>
      <c r="P130" s="2667"/>
      <c r="Q130" s="495"/>
    </row>
    <row r="131" spans="1:17" ht="15" thickTop="1">
      <c r="A131" s="590"/>
      <c r="B131" s="537">
        <f>B47</f>
        <v>111</v>
      </c>
      <c r="C131" s="514"/>
      <c r="D131" s="514"/>
      <c r="E131" s="514"/>
      <c r="F131" s="514"/>
      <c r="G131" s="578"/>
      <c r="H131" s="578"/>
      <c r="I131" s="578"/>
      <c r="J131" s="578"/>
      <c r="K131" s="514"/>
      <c r="L131" s="515"/>
      <c r="M131" s="581"/>
      <c r="N131" s="1135"/>
      <c r="O131" s="1135"/>
      <c r="P131" s="2667"/>
      <c r="Q131" s="495"/>
    </row>
    <row r="132" spans="1:17" ht="15.75" thickBot="1">
      <c r="A132" s="2619"/>
      <c r="B132" s="560"/>
      <c r="C132" s="561"/>
      <c r="D132" s="561"/>
      <c r="E132" s="561"/>
      <c r="F132" s="561"/>
      <c r="G132" s="582"/>
      <c r="H132" s="582"/>
      <c r="I132" s="582"/>
      <c r="J132" s="582"/>
      <c r="K132" s="582"/>
      <c r="L132" s="582"/>
      <c r="M132" s="583"/>
      <c r="N132" s="1136"/>
      <c r="O132" s="1136"/>
      <c r="P132" s="2667"/>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2516</v>
      </c>
      <c r="B1" s="2652" t="s">
        <v>2690</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IF(C2="——",ROUND(C43*D3/10000,0),ROUND(C43*D3/10000,0)-D2)</f>
        <v>#DIV/0!</v>
      </c>
      <c r="C2" s="2569"/>
      <c r="D2" s="1107"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2317</v>
      </c>
      <c r="B3" s="600" t="e">
        <f ca="1">IF(C2="——",C43,ROUND(B2*10000/D3,0))</f>
        <v>#DIV/0!</v>
      </c>
      <c r="C3" s="391" t="s">
        <v>2632</v>
      </c>
      <c r="D3" s="390">
        <f>IF(D1="",'数据-汇总表'!E3,SUMIF('数据-汇总表'!$C19:$C33,D1,'数据-汇总表'!$E19:$E33))</f>
        <v>1266.6499999999999</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ht="15">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7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75" thickBot="1">
      <c r="A7" s="399" t="s">
        <v>2536</v>
      </c>
      <c r="B7" s="400"/>
      <c r="C7" s="401">
        <f>'数据-取费表'!B2</f>
        <v>43886</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16"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756" t="e">
        <f>D7/J7</f>
        <v>#DIV/0!</v>
      </c>
    </row>
    <row r="8" spans="1:29" s="113" customFormat="1" ht="15.75" thickBot="1">
      <c r="A8" s="399" t="s">
        <v>2538</v>
      </c>
      <c r="B8" s="400"/>
      <c r="C8" s="405" t="s">
        <v>2539</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40" si="3">D8/F8</f>
        <v>#DIV/0!</v>
      </c>
      <c r="AB8" s="756" t="e">
        <f t="shared" ref="AB8:AB40" si="4">D8/H8</f>
        <v>#DIV/0!</v>
      </c>
      <c r="AC8" s="756" t="e">
        <f t="shared" ref="AC8:AC40" si="5">D8/J8</f>
        <v>#DIV/0!</v>
      </c>
    </row>
    <row r="9" spans="1:29" s="113" customFormat="1">
      <c r="A9" s="406" t="s">
        <v>2541</v>
      </c>
      <c r="B9" s="70" t="s">
        <v>2542</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201"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7">
      <c r="A10" s="412"/>
      <c r="B10" s="413" t="s">
        <v>2545</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201"/>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413" t="s">
        <v>2546</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201"/>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425"/>
      <c r="F12" s="127">
        <f>SUMIF(64:64,E12,65:65)-SUMIF(64:64,C12,65:65)+100</f>
        <v>100</v>
      </c>
      <c r="G12" s="2675"/>
      <c r="H12" s="127">
        <f>SUMIF(64:64,G12,65:65)-SUMIF(64:64,C12,65:65)+100</f>
        <v>100</v>
      </c>
      <c r="I12" s="460"/>
      <c r="J12" s="127">
        <f>SUMIF(64:64,I12,65:65)-SUMIF(64:64,C12,65:65)+100</f>
        <v>100</v>
      </c>
      <c r="K12" s="604"/>
      <c r="L12" s="1115"/>
      <c r="M12" s="1116"/>
      <c r="N12" s="1116"/>
      <c r="O12" s="1117"/>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c r="A13" s="419"/>
      <c r="B13" s="2583">
        <v>111</v>
      </c>
      <c r="C13" s="425"/>
      <c r="D13" s="426">
        <v>100</v>
      </c>
      <c r="E13" s="425"/>
      <c r="F13" s="127">
        <f>SUMIF(66:66,E13,67:67)-SUMIF(66:66,C13,67:67)+100</f>
        <v>100</v>
      </c>
      <c r="G13" s="2675"/>
      <c r="H13" s="426">
        <f>SUMIF(66:66,G13,67:67)-SUMIF(66:66,C13,67:67)+100</f>
        <v>100</v>
      </c>
      <c r="I13" s="460"/>
      <c r="J13" s="426">
        <f>SUMIF(66:66,I13,67:67)-SUMIF(66:66,C13,67:67)+100</f>
        <v>100</v>
      </c>
      <c r="K13" s="604"/>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75" thickBot="1">
      <c r="A14" s="427"/>
      <c r="B14" s="2585">
        <v>111</v>
      </c>
      <c r="C14" s="428"/>
      <c r="D14" s="429">
        <v>100</v>
      </c>
      <c r="E14" s="428"/>
      <c r="F14" s="429">
        <f>SUMIF(68:68,E14,69:69)-SUMIF(68:68,C14,69:69)+100</f>
        <v>100</v>
      </c>
      <c r="G14" s="2675"/>
      <c r="H14" s="429">
        <f>SUMIF(68:68,G14,69:69)-SUMIF(68:68,C14,69:69)+100</f>
        <v>100</v>
      </c>
      <c r="I14" s="460"/>
      <c r="J14" s="429">
        <f>SUMIF(68:68,I14,69:69)-SUMIF(68:68,C14,69:69)+100</f>
        <v>100</v>
      </c>
      <c r="K14" s="604"/>
      <c r="L14" s="1123"/>
      <c r="M14" s="1114"/>
      <c r="N14" s="1114"/>
      <c r="O14" s="1122"/>
      <c r="P14" s="3201"/>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8" t="s">
        <v>2691</v>
      </c>
      <c r="C15" s="2676">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208" t="s">
        <v>2548</v>
      </c>
      <c r="Q15" s="1793" t="str">
        <f t="shared" si="6"/>
        <v>产业集聚程度</v>
      </c>
      <c r="R15" s="757" t="s">
        <v>17</v>
      </c>
      <c r="S15" s="758">
        <f t="shared" si="0"/>
        <v>100</v>
      </c>
      <c r="T15" s="757" t="s">
        <v>17</v>
      </c>
      <c r="U15" s="758">
        <f t="shared" si="1"/>
        <v>100</v>
      </c>
      <c r="V15" s="757" t="s">
        <v>17</v>
      </c>
      <c r="W15" s="758">
        <f t="shared" si="2"/>
        <v>100</v>
      </c>
      <c r="X15" s="1796"/>
      <c r="Y15" s="3208" t="s">
        <v>2548</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209"/>
      <c r="Q16" s="1793"/>
      <c r="R16" s="757"/>
      <c r="S16" s="758"/>
      <c r="T16" s="757"/>
      <c r="U16" s="758"/>
      <c r="V16" s="757"/>
      <c r="W16" s="758"/>
      <c r="X16" s="1796"/>
      <c r="Y16" s="3209"/>
      <c r="Z16" s="1797"/>
      <c r="AA16" s="1794">
        <v>1</v>
      </c>
      <c r="AB16" s="1794">
        <v>1</v>
      </c>
      <c r="AC16" s="1794">
        <v>1</v>
      </c>
    </row>
    <row r="17" spans="1:29" ht="15">
      <c r="A17" s="419"/>
      <c r="B17" s="442" t="s">
        <v>2087</v>
      </c>
      <c r="C17" s="2590">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209"/>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1794">
        <f t="shared" si="5"/>
        <v>1</v>
      </c>
    </row>
    <row r="18" spans="1:29" ht="15">
      <c r="A18" s="419"/>
      <c r="B18" s="447"/>
      <c r="C18" s="2591"/>
      <c r="D18" s="441"/>
      <c r="E18" s="2593"/>
      <c r="F18" s="444"/>
      <c r="G18" s="2592"/>
      <c r="H18" s="439"/>
      <c r="I18" s="2593"/>
      <c r="J18" s="439"/>
      <c r="K18" s="606"/>
      <c r="L18" s="1123"/>
      <c r="M18" s="1114"/>
      <c r="N18" s="1114"/>
      <c r="O18" s="1122"/>
      <c r="P18" s="3209"/>
      <c r="Q18" s="1793"/>
      <c r="R18" s="757"/>
      <c r="S18" s="758"/>
      <c r="T18" s="757"/>
      <c r="U18" s="758"/>
      <c r="V18" s="757"/>
      <c r="W18" s="758"/>
      <c r="X18" s="1796"/>
      <c r="Y18" s="3209"/>
      <c r="Z18" s="1797"/>
      <c r="AA18" s="1794">
        <v>1</v>
      </c>
      <c r="AB18" s="1794">
        <v>1</v>
      </c>
      <c r="AC18" s="1794">
        <v>1</v>
      </c>
    </row>
    <row r="19" spans="1:29" ht="15">
      <c r="A19" s="419"/>
      <c r="B19" s="442" t="s">
        <v>2676</v>
      </c>
      <c r="C19" s="2590">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209"/>
      <c r="Q19" s="1793" t="str">
        <f>B19</f>
        <v>公共配套设施</v>
      </c>
      <c r="R19" s="757" t="s">
        <v>17</v>
      </c>
      <c r="S19" s="758">
        <f>F19</f>
        <v>100</v>
      </c>
      <c r="T19" s="757" t="s">
        <v>17</v>
      </c>
      <c r="U19" s="758">
        <f>H19</f>
        <v>100</v>
      </c>
      <c r="V19" s="757" t="s">
        <v>17</v>
      </c>
      <c r="W19" s="758">
        <f>J19</f>
        <v>100</v>
      </c>
      <c r="X19" s="1796"/>
      <c r="Y19" s="3209"/>
      <c r="Z19" s="1797" t="str">
        <f>Q19</f>
        <v>公共配套设施</v>
      </c>
      <c r="AA19" s="1794">
        <f t="shared" si="3"/>
        <v>1</v>
      </c>
      <c r="AB19" s="1794">
        <f t="shared" si="4"/>
        <v>1</v>
      </c>
      <c r="AC19" s="1794">
        <f t="shared" si="5"/>
        <v>1</v>
      </c>
    </row>
    <row r="20" spans="1:29" ht="15">
      <c r="A20" s="419"/>
      <c r="B20" s="447"/>
      <c r="C20" s="438"/>
      <c r="D20" s="439"/>
      <c r="E20" s="2588"/>
      <c r="F20" s="440"/>
      <c r="G20" s="2587"/>
      <c r="H20" s="439"/>
      <c r="I20" s="2588"/>
      <c r="J20" s="439"/>
      <c r="K20" s="606"/>
      <c r="L20" s="1123"/>
      <c r="M20" s="1114"/>
      <c r="N20" s="1114"/>
      <c r="O20" s="1122"/>
      <c r="P20" s="3209"/>
      <c r="Q20" s="1793"/>
      <c r="R20" s="757"/>
      <c r="S20" s="758"/>
      <c r="T20" s="757"/>
      <c r="U20" s="758"/>
      <c r="V20" s="757"/>
      <c r="W20" s="758"/>
      <c r="X20" s="1796"/>
      <c r="Y20" s="3209"/>
      <c r="Z20" s="1797"/>
      <c r="AA20" s="1794">
        <v>1</v>
      </c>
      <c r="AB20" s="1794">
        <v>1</v>
      </c>
      <c r="AC20" s="1794">
        <v>1</v>
      </c>
    </row>
    <row r="21" spans="1:29" ht="15">
      <c r="A21" s="419"/>
      <c r="B21" s="1367" t="s">
        <v>2677</v>
      </c>
      <c r="C21" s="2590">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209"/>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40"/>
      <c r="G22" s="438"/>
      <c r="H22" s="439"/>
      <c r="I22" s="438"/>
      <c r="J22" s="439"/>
      <c r="K22" s="1366"/>
      <c r="L22" s="1123"/>
      <c r="M22" s="1114"/>
      <c r="N22" s="1114"/>
      <c r="O22" s="1122"/>
      <c r="P22" s="3209"/>
      <c r="Q22" s="1793"/>
      <c r="R22" s="757"/>
      <c r="S22" s="758"/>
      <c r="T22" s="757"/>
      <c r="U22" s="758"/>
      <c r="V22" s="757"/>
      <c r="W22" s="758"/>
      <c r="X22" s="1796"/>
      <c r="Y22" s="3209"/>
      <c r="Z22" s="1797"/>
      <c r="AA22" s="1794">
        <v>1</v>
      </c>
      <c r="AB22" s="1794">
        <v>1</v>
      </c>
      <c r="AC22" s="1794">
        <v>1</v>
      </c>
    </row>
    <row r="23" spans="1:29" ht="15">
      <c r="A23" s="419"/>
      <c r="B23" s="442" t="s">
        <v>2678</v>
      </c>
      <c r="C23" s="2590">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209"/>
      <c r="Q23" s="1793" t="str">
        <f>B23</f>
        <v>环境质量</v>
      </c>
      <c r="R23" s="757" t="s">
        <v>17</v>
      </c>
      <c r="S23" s="758">
        <f>F23</f>
        <v>100</v>
      </c>
      <c r="T23" s="757" t="s">
        <v>17</v>
      </c>
      <c r="U23" s="758">
        <f>H23</f>
        <v>100</v>
      </c>
      <c r="V23" s="757" t="s">
        <v>17</v>
      </c>
      <c r="W23" s="758">
        <f>J23</f>
        <v>100</v>
      </c>
      <c r="X23" s="1796"/>
      <c r="Y23" s="3209"/>
      <c r="Z23" s="1797" t="str">
        <f>Q23</f>
        <v>环境质量</v>
      </c>
      <c r="AA23" s="1794">
        <f t="shared" si="3"/>
        <v>1</v>
      </c>
      <c r="AB23" s="1794">
        <f t="shared" si="4"/>
        <v>1</v>
      </c>
      <c r="AC23" s="1794">
        <f t="shared" si="5"/>
        <v>1</v>
      </c>
    </row>
    <row r="24" spans="1:29" ht="15">
      <c r="A24" s="419"/>
      <c r="B24" s="1367"/>
      <c r="C24" s="438"/>
      <c r="D24" s="439"/>
      <c r="E24" s="2588"/>
      <c r="F24" s="440"/>
      <c r="G24" s="2587"/>
      <c r="H24" s="439"/>
      <c r="I24" s="2588"/>
      <c r="J24" s="439"/>
      <c r="K24" s="606"/>
      <c r="L24" s="1123"/>
      <c r="M24" s="1114"/>
      <c r="N24" s="1114"/>
      <c r="O24" s="1122"/>
      <c r="P24" s="3209"/>
      <c r="Q24" s="1793"/>
      <c r="R24" s="757"/>
      <c r="S24" s="758"/>
      <c r="T24" s="757"/>
      <c r="U24" s="758"/>
      <c r="V24" s="757"/>
      <c r="W24" s="758"/>
      <c r="X24" s="1796"/>
      <c r="Y24" s="3209"/>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209"/>
      <c r="Q25" s="1793">
        <f>B25</f>
        <v>111</v>
      </c>
      <c r="R25" s="757" t="s">
        <v>17</v>
      </c>
      <c r="S25" s="758">
        <f>F25</f>
        <v>100</v>
      </c>
      <c r="T25" s="757" t="s">
        <v>17</v>
      </c>
      <c r="U25" s="758">
        <f>H25</f>
        <v>100</v>
      </c>
      <c r="V25" s="757" t="s">
        <v>17</v>
      </c>
      <c r="W25" s="758">
        <f>J25</f>
        <v>100</v>
      </c>
      <c r="X25" s="1796"/>
      <c r="Y25" s="3209"/>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209"/>
      <c r="Q26" s="1793">
        <f t="shared" ref="Q26:Q40" si="11">B26</f>
        <v>111</v>
      </c>
      <c r="R26" s="757" t="s">
        <v>17</v>
      </c>
      <c r="S26" s="758">
        <f>F26</f>
        <v>100</v>
      </c>
      <c r="T26" s="757" t="s">
        <v>17</v>
      </c>
      <c r="U26" s="758">
        <f>H26</f>
        <v>100</v>
      </c>
      <c r="V26" s="757" t="s">
        <v>17</v>
      </c>
      <c r="W26" s="758">
        <f>J26</f>
        <v>100</v>
      </c>
      <c r="X26" s="1796"/>
      <c r="Y26" s="3209"/>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209"/>
      <c r="Q27" s="1778">
        <f t="shared" si="11"/>
        <v>111</v>
      </c>
      <c r="R27" s="753" t="s">
        <v>17</v>
      </c>
      <c r="S27" s="754">
        <f>F27</f>
        <v>100</v>
      </c>
      <c r="T27" s="753" t="s">
        <v>17</v>
      </c>
      <c r="U27" s="754">
        <f>H27</f>
        <v>100</v>
      </c>
      <c r="V27" s="753" t="s">
        <v>17</v>
      </c>
      <c r="W27" s="754">
        <f>J27</f>
        <v>100</v>
      </c>
      <c r="X27" s="755"/>
      <c r="Y27" s="3209"/>
      <c r="Z27" s="55">
        <f>Q27</f>
        <v>111</v>
      </c>
      <c r="AA27" s="1794">
        <f>D27/F27</f>
        <v>1</v>
      </c>
      <c r="AB27" s="1794">
        <f>D27/H27</f>
        <v>1</v>
      </c>
      <c r="AC27" s="1794">
        <f>D27/J27</f>
        <v>1</v>
      </c>
    </row>
    <row r="28" spans="1:29" ht="15.75"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209"/>
      <c r="Q28" s="1793">
        <f t="shared" si="11"/>
        <v>111</v>
      </c>
      <c r="R28" s="757" t="s">
        <v>17</v>
      </c>
      <c r="S28" s="758">
        <f t="shared" ref="S28:S40" si="12">F28</f>
        <v>100</v>
      </c>
      <c r="T28" s="757" t="s">
        <v>17</v>
      </c>
      <c r="U28" s="758">
        <f t="shared" ref="U28:U40" si="13">H28</f>
        <v>100</v>
      </c>
      <c r="V28" s="757" t="s">
        <v>17</v>
      </c>
      <c r="W28" s="758">
        <f t="shared" ref="W28:W40" si="14">J28</f>
        <v>100</v>
      </c>
      <c r="X28" s="1796"/>
      <c r="Y28" s="3209"/>
      <c r="Z28" s="1797">
        <f t="shared" ref="Z28:Z40" si="15">Q28</f>
        <v>111</v>
      </c>
      <c r="AA28" s="1794">
        <f t="shared" si="3"/>
        <v>1</v>
      </c>
      <c r="AB28" s="1794">
        <f t="shared" si="4"/>
        <v>1</v>
      </c>
      <c r="AC28" s="1794">
        <f t="shared" si="5"/>
        <v>1</v>
      </c>
    </row>
    <row r="29" spans="1:29" ht="28.5">
      <c r="A29" s="457" t="s">
        <v>2551</v>
      </c>
      <c r="B29" s="70" t="s">
        <v>2681</v>
      </c>
      <c r="C29" s="2662"/>
      <c r="D29" s="458">
        <v>100</v>
      </c>
      <c r="E29" s="2662"/>
      <c r="F29" s="452">
        <f>SUMIF(88:88,E29,89:89)-SUMIF(88:88,C29,89:89)+100</f>
        <v>100</v>
      </c>
      <c r="G29" s="2662"/>
      <c r="H29" s="426">
        <f>SUMIF(88:88,G29,89:89)-SUMIF(88:88,C29,89:89)+100</f>
        <v>100</v>
      </c>
      <c r="I29" s="2662"/>
      <c r="J29" s="458">
        <f>SUMIF(88:88,I29,89:89)-SUMIF(88:88,C29,89:89)+100</f>
        <v>100</v>
      </c>
      <c r="K29" s="603"/>
      <c r="L29" s="1123"/>
      <c r="M29" s="1114"/>
      <c r="N29" s="1114"/>
      <c r="O29" s="1122"/>
      <c r="P29" s="3288" t="s">
        <v>2553</v>
      </c>
      <c r="Q29" s="1793" t="str">
        <f t="shared" si="11"/>
        <v>建筑类型</v>
      </c>
      <c r="R29" s="757" t="s">
        <v>17</v>
      </c>
      <c r="S29" s="758">
        <f t="shared" si="12"/>
        <v>100</v>
      </c>
      <c r="T29" s="757" t="s">
        <v>17</v>
      </c>
      <c r="U29" s="758">
        <f t="shared" si="13"/>
        <v>100</v>
      </c>
      <c r="V29" s="757" t="s">
        <v>17</v>
      </c>
      <c r="W29" s="758">
        <f t="shared" si="14"/>
        <v>100</v>
      </c>
      <c r="X29" s="1796"/>
      <c r="Y29" s="3213" t="s">
        <v>2553</v>
      </c>
      <c r="Z29" s="1797" t="str">
        <f t="shared" si="15"/>
        <v>建筑类型</v>
      </c>
      <c r="AA29" s="1794">
        <f t="shared" si="3"/>
        <v>1</v>
      </c>
      <c r="AB29" s="1794">
        <f t="shared" si="4"/>
        <v>1</v>
      </c>
      <c r="AC29" s="1794">
        <f t="shared" si="5"/>
        <v>1</v>
      </c>
    </row>
    <row r="30" spans="1:29" s="462" customFormat="1" ht="15">
      <c r="A30" s="459"/>
      <c r="B30" s="413" t="s">
        <v>2554</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213"/>
      <c r="Q30" s="759" t="str">
        <f t="shared" si="11"/>
        <v>项目建筑规模</v>
      </c>
      <c r="R30" s="760" t="s">
        <v>17</v>
      </c>
      <c r="S30" s="761" t="e">
        <f t="shared" si="12"/>
        <v>#N/A</v>
      </c>
      <c r="T30" s="760" t="s">
        <v>17</v>
      </c>
      <c r="U30" s="761" t="e">
        <f t="shared" si="13"/>
        <v>#N/A</v>
      </c>
      <c r="V30" s="760" t="s">
        <v>17</v>
      </c>
      <c r="W30" s="761" t="e">
        <f t="shared" si="14"/>
        <v>#N/A</v>
      </c>
      <c r="X30" s="762"/>
      <c r="Y30" s="3213"/>
      <c r="Z30" s="763" t="str">
        <f t="shared" si="15"/>
        <v>项目建筑规模</v>
      </c>
      <c r="AA30" s="1794" t="e">
        <f t="shared" si="3"/>
        <v>#N/A</v>
      </c>
      <c r="AB30" s="1794" t="e">
        <f t="s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213"/>
      <c r="Q31" s="1793" t="str">
        <f t="shared" si="11"/>
        <v>建筑结构</v>
      </c>
      <c r="R31" s="757" t="s">
        <v>17</v>
      </c>
      <c r="S31" s="758">
        <f t="shared" si="12"/>
        <v>100</v>
      </c>
      <c r="T31" s="757" t="s">
        <v>17</v>
      </c>
      <c r="U31" s="758">
        <f t="shared" si="13"/>
        <v>100</v>
      </c>
      <c r="V31" s="757" t="s">
        <v>17</v>
      </c>
      <c r="W31" s="758">
        <f t="shared" si="14"/>
        <v>100</v>
      </c>
      <c r="X31" s="1796"/>
      <c r="Y31" s="3213"/>
      <c r="Z31" s="1797" t="str">
        <f t="shared" si="15"/>
        <v>建筑结构</v>
      </c>
      <c r="AA31" s="1794">
        <f t="shared" si="3"/>
        <v>1</v>
      </c>
      <c r="AB31" s="1794">
        <f t="shared" si="4"/>
        <v>1</v>
      </c>
      <c r="AC31" s="1794">
        <f t="shared" si="5"/>
        <v>1</v>
      </c>
    </row>
    <row r="32" spans="1:29" ht="15">
      <c r="A32" s="463"/>
      <c r="B32" s="413" t="s">
        <v>2649</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213"/>
      <c r="Q32" s="1793" t="str">
        <f t="shared" si="11"/>
        <v>公共部分装修</v>
      </c>
      <c r="R32" s="757" t="s">
        <v>17</v>
      </c>
      <c r="S32" s="758">
        <f t="shared" si="12"/>
        <v>100</v>
      </c>
      <c r="T32" s="757" t="s">
        <v>17</v>
      </c>
      <c r="U32" s="758">
        <f t="shared" si="13"/>
        <v>100</v>
      </c>
      <c r="V32" s="757" t="s">
        <v>17</v>
      </c>
      <c r="W32" s="758">
        <f t="shared" si="14"/>
        <v>100</v>
      </c>
      <c r="X32" s="1796"/>
      <c r="Y32" s="3213"/>
      <c r="Z32" s="1797" t="str">
        <f t="shared" si="15"/>
        <v>公共部分装修</v>
      </c>
      <c r="AA32" s="1794">
        <f t="shared" si="3"/>
        <v>1</v>
      </c>
      <c r="AB32" s="1794">
        <f t="shared" si="4"/>
        <v>1</v>
      </c>
      <c r="AC32" s="1794">
        <f t="shared" si="5"/>
        <v>1</v>
      </c>
    </row>
    <row r="33" spans="1:29" ht="15">
      <c r="A33" s="463"/>
      <c r="B33" s="413" t="s">
        <v>2650</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213"/>
      <c r="Q33" s="1793" t="str">
        <f t="shared" si="11"/>
        <v>成新度</v>
      </c>
      <c r="R33" s="757" t="s">
        <v>17</v>
      </c>
      <c r="S33" s="758" t="e">
        <f t="shared" si="12"/>
        <v>#N/A</v>
      </c>
      <c r="T33" s="757" t="s">
        <v>17</v>
      </c>
      <c r="U33" s="758" t="e">
        <f t="shared" si="13"/>
        <v>#N/A</v>
      </c>
      <c r="V33" s="757" t="s">
        <v>17</v>
      </c>
      <c r="W33" s="758" t="e">
        <f t="shared" si="14"/>
        <v>#N/A</v>
      </c>
      <c r="X33" s="1796"/>
      <c r="Y33" s="3213"/>
      <c r="Z33" s="1797" t="str">
        <f t="shared" si="15"/>
        <v>成新度</v>
      </c>
      <c r="AA33" s="1794" t="e">
        <f t="shared" si="3"/>
        <v>#N/A</v>
      </c>
      <c r="AB33" s="1794" t="e">
        <f t="shared" si="4"/>
        <v>#N/A</v>
      </c>
      <c r="AC33" s="1794" t="e">
        <f t="shared" si="5"/>
        <v>#N/A</v>
      </c>
    </row>
    <row r="34" spans="1:29" s="113" customFormat="1" ht="15">
      <c r="A34" s="464"/>
      <c r="B34" s="413" t="s">
        <v>2683</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213"/>
      <c r="Q34" s="1778" t="str">
        <f t="shared" si="11"/>
        <v>物业管理</v>
      </c>
      <c r="R34" s="753" t="s">
        <v>17</v>
      </c>
      <c r="S34" s="754">
        <f t="shared" si="12"/>
        <v>100</v>
      </c>
      <c r="T34" s="753" t="s">
        <v>17</v>
      </c>
      <c r="U34" s="754">
        <f t="shared" si="13"/>
        <v>100</v>
      </c>
      <c r="V34" s="753" t="s">
        <v>17</v>
      </c>
      <c r="W34" s="754">
        <f t="shared" si="14"/>
        <v>100</v>
      </c>
      <c r="X34" s="755"/>
      <c r="Y34" s="3213"/>
      <c r="Z34" s="55" t="str">
        <f t="shared" si="15"/>
        <v>物业管理</v>
      </c>
      <c r="AA34" s="756">
        <f t="shared" si="3"/>
        <v>1</v>
      </c>
      <c r="AB34" s="756">
        <f t="shared" si="4"/>
        <v>1</v>
      </c>
      <c r="AC34" s="756">
        <f t="shared" si="5"/>
        <v>1</v>
      </c>
    </row>
    <row r="35" spans="1:29" ht="15">
      <c r="A35" s="463"/>
      <c r="B35" s="413" t="s">
        <v>2651</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213" t="s">
        <v>2553</v>
      </c>
      <c r="Q35" s="1793" t="str">
        <f t="shared" si="11"/>
        <v>市政基础设施</v>
      </c>
      <c r="R35" s="757" t="s">
        <v>17</v>
      </c>
      <c r="S35" s="758">
        <f t="shared" si="12"/>
        <v>100</v>
      </c>
      <c r="T35" s="757" t="s">
        <v>17</v>
      </c>
      <c r="U35" s="758">
        <f t="shared" si="13"/>
        <v>100</v>
      </c>
      <c r="V35" s="757" t="s">
        <v>17</v>
      </c>
      <c r="W35" s="758">
        <f t="shared" si="14"/>
        <v>100</v>
      </c>
      <c r="X35" s="1796"/>
      <c r="Y35" s="3213" t="s">
        <v>2553</v>
      </c>
      <c r="Z35" s="1797" t="str">
        <f t="shared" si="15"/>
        <v>市政基础设施</v>
      </c>
      <c r="AA35" s="1794">
        <f t="shared" si="3"/>
        <v>1</v>
      </c>
      <c r="AB35" s="1794">
        <f t="shared" si="4"/>
        <v>1</v>
      </c>
      <c r="AC35" s="1794">
        <f t="shared" si="5"/>
        <v>1</v>
      </c>
    </row>
    <row r="36" spans="1:29" ht="15">
      <c r="A36" s="463"/>
      <c r="B36" s="413" t="s">
        <v>2656</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213"/>
      <c r="Q36" s="1793" t="str">
        <f t="shared" si="11"/>
        <v>内部装修</v>
      </c>
      <c r="R36" s="757" t="s">
        <v>17</v>
      </c>
      <c r="S36" s="758">
        <f t="shared" si="12"/>
        <v>100</v>
      </c>
      <c r="T36" s="757" t="s">
        <v>17</v>
      </c>
      <c r="U36" s="758">
        <f t="shared" si="13"/>
        <v>100</v>
      </c>
      <c r="V36" s="757" t="s">
        <v>17</v>
      </c>
      <c r="W36" s="758">
        <f t="shared" si="14"/>
        <v>100</v>
      </c>
      <c r="X36" s="1796"/>
      <c r="Y36" s="3213"/>
      <c r="Z36" s="1797" t="str">
        <f t="shared" si="15"/>
        <v>内部装修</v>
      </c>
      <c r="AA36" s="1794">
        <f t="shared" si="3"/>
        <v>1</v>
      </c>
      <c r="AB36" s="1794">
        <f t="shared" si="4"/>
        <v>1</v>
      </c>
      <c r="AC36" s="1794">
        <f t="shared" si="5"/>
        <v>1</v>
      </c>
    </row>
    <row r="37" spans="1:29" ht="15">
      <c r="A37" s="463"/>
      <c r="B37" s="413" t="s">
        <v>2692</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213"/>
      <c r="Q37" s="1793" t="str">
        <f t="shared" si="11"/>
        <v>内部装修状况</v>
      </c>
      <c r="R37" s="757" t="s">
        <v>17</v>
      </c>
      <c r="S37" s="758">
        <f t="shared" si="12"/>
        <v>100</v>
      </c>
      <c r="T37" s="757" t="s">
        <v>17</v>
      </c>
      <c r="U37" s="758">
        <f t="shared" si="13"/>
        <v>100</v>
      </c>
      <c r="V37" s="757" t="s">
        <v>17</v>
      </c>
      <c r="W37" s="758">
        <f t="shared" si="14"/>
        <v>100</v>
      </c>
      <c r="X37" s="1796"/>
      <c r="Y37" s="3213"/>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213"/>
      <c r="Q38" s="759">
        <f t="shared" si="11"/>
        <v>111</v>
      </c>
      <c r="R38" s="760" t="s">
        <v>17</v>
      </c>
      <c r="S38" s="761">
        <f t="shared" si="12"/>
        <v>100</v>
      </c>
      <c r="T38" s="760" t="s">
        <v>17</v>
      </c>
      <c r="U38" s="761">
        <f t="shared" si="13"/>
        <v>100</v>
      </c>
      <c r="V38" s="760" t="s">
        <v>17</v>
      </c>
      <c r="W38" s="761">
        <f t="shared" si="14"/>
        <v>100</v>
      </c>
      <c r="X38" s="762"/>
      <c r="Y38" s="3213"/>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213"/>
      <c r="Q39" s="1793">
        <f t="shared" si="11"/>
        <v>111</v>
      </c>
      <c r="R39" s="757" t="s">
        <v>17</v>
      </c>
      <c r="S39" s="758">
        <f t="shared" si="12"/>
        <v>100</v>
      </c>
      <c r="T39" s="757" t="s">
        <v>17</v>
      </c>
      <c r="U39" s="758">
        <f t="shared" si="13"/>
        <v>100</v>
      </c>
      <c r="V39" s="757" t="s">
        <v>17</v>
      </c>
      <c r="W39" s="758">
        <f t="shared" si="14"/>
        <v>100</v>
      </c>
      <c r="X39" s="1796"/>
      <c r="Y39" s="3213"/>
      <c r="Z39" s="1797">
        <f t="shared" si="15"/>
        <v>111</v>
      </c>
      <c r="AA39" s="1794">
        <f t="shared" si="3"/>
        <v>1</v>
      </c>
      <c r="AB39" s="1794">
        <f t="shared" si="4"/>
        <v>1</v>
      </c>
      <c r="AC39" s="1794">
        <f t="shared" si="5"/>
        <v>1</v>
      </c>
    </row>
    <row r="40" spans="1:29" ht="15.75" thickBot="1">
      <c r="A40" s="469"/>
      <c r="B40" s="2585">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214"/>
      <c r="Q40" s="1793">
        <f t="shared" si="11"/>
        <v>111</v>
      </c>
      <c r="R40" s="757" t="s">
        <v>17</v>
      </c>
      <c r="S40" s="758">
        <f t="shared" si="12"/>
        <v>100</v>
      </c>
      <c r="T40" s="757" t="s">
        <v>17</v>
      </c>
      <c r="U40" s="758">
        <f t="shared" si="13"/>
        <v>100</v>
      </c>
      <c r="V40" s="757" t="s">
        <v>17</v>
      </c>
      <c r="W40" s="758">
        <f t="shared" si="14"/>
        <v>100</v>
      </c>
      <c r="X40" s="1796"/>
      <c r="Y40" s="3214"/>
      <c r="Z40" s="1797">
        <f t="shared" si="15"/>
        <v>111</v>
      </c>
      <c r="AA40" s="1794">
        <f t="shared" si="3"/>
        <v>1</v>
      </c>
      <c r="AB40" s="1794">
        <f t="shared" si="4"/>
        <v>1</v>
      </c>
      <c r="AC40" s="1794">
        <f t="shared" si="5"/>
        <v>1</v>
      </c>
    </row>
    <row r="41" spans="1:29" ht="15">
      <c r="A41" s="470" t="s">
        <v>2565</v>
      </c>
      <c r="B41" s="471"/>
      <c r="C41" s="1390" t="s">
        <v>1</v>
      </c>
      <c r="D41" s="1391"/>
      <c r="E41" s="1392"/>
      <c r="F41" s="1393"/>
      <c r="G41" s="1394"/>
      <c r="H41" s="1395"/>
      <c r="I41" s="1392"/>
      <c r="J41" s="1395"/>
      <c r="K41" s="766"/>
      <c r="L41" s="1126"/>
      <c r="M41" s="1127"/>
      <c r="N41" s="1114"/>
      <c r="O41" s="1127"/>
      <c r="P41" s="3201" t="str">
        <f>A41</f>
        <v>成交单价（元/平方米）</v>
      </c>
      <c r="Q41" s="3201"/>
      <c r="R41" s="3202">
        <f>E41</f>
        <v>0</v>
      </c>
      <c r="S41" s="3202"/>
      <c r="T41" s="3202">
        <f>G41</f>
        <v>0</v>
      </c>
      <c r="U41" s="3202"/>
      <c r="V41" s="3202">
        <f>I41</f>
        <v>0</v>
      </c>
      <c r="W41" s="3202"/>
      <c r="X41" s="742"/>
      <c r="Y41" s="764"/>
      <c r="Z41" s="742"/>
      <c r="AA41" s="742"/>
      <c r="AB41" s="742"/>
      <c r="AC41" s="742"/>
    </row>
    <row r="42" spans="1:29" ht="15.75" thickBot="1">
      <c r="A42" s="477" t="s">
        <v>2657</v>
      </c>
      <c r="B42" s="478"/>
      <c r="C42" s="1396" t="e">
        <f>R43</f>
        <v>#DIV/0!</v>
      </c>
      <c r="D42" s="1397"/>
      <c r="E42" s="1398" t="e">
        <f>R42</f>
        <v>#DIV/0!</v>
      </c>
      <c r="F42" s="1398"/>
      <c r="G42" s="1396" t="e">
        <f>T42</f>
        <v>#DIV/0!</v>
      </c>
      <c r="H42" s="1397"/>
      <c r="I42" s="1398" t="e">
        <f>V42</f>
        <v>#DIV/0!</v>
      </c>
      <c r="J42" s="1397"/>
      <c r="K42" s="767"/>
      <c r="L42" s="1126"/>
      <c r="M42" s="1127"/>
      <c r="N42" s="1114"/>
      <c r="O42" s="112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42"/>
      <c r="Y42" s="742"/>
      <c r="Z42" s="742"/>
      <c r="AA42" s="742"/>
      <c r="AB42" s="742"/>
      <c r="AC42" s="742"/>
    </row>
    <row r="43" spans="1:29" ht="15.75" thickBot="1">
      <c r="A43" s="483" t="s">
        <v>2658</v>
      </c>
      <c r="B43" s="484"/>
      <c r="C43" s="1400" t="e">
        <f>R43</f>
        <v>#DIV/0!</v>
      </c>
      <c r="D43" s="1400"/>
      <c r="E43" s="1400"/>
      <c r="F43" s="1400"/>
      <c r="G43" s="1400"/>
      <c r="H43" s="1400"/>
      <c r="I43" s="1400"/>
      <c r="J43" s="1400"/>
      <c r="K43" s="768"/>
      <c r="L43" s="1126"/>
      <c r="M43" s="1127"/>
      <c r="N43" s="1127"/>
      <c r="O43" s="1127"/>
      <c r="P43" s="3203" t="str">
        <f>A43</f>
        <v>估价对象XX用房的比较价值（楼面单价，元/平方米）</v>
      </c>
      <c r="Q43" s="3204"/>
      <c r="R43" s="3205" t="e">
        <f>IF(F1="售价",ROUND(AVERAGE(R42:V42),0),ROUND(AVERAGE(R42:V42),1))</f>
        <v>#DIV/0!</v>
      </c>
      <c r="S43" s="3205"/>
      <c r="T43" s="3205"/>
      <c r="U43" s="3205"/>
      <c r="V43" s="3205"/>
      <c r="W43" s="3205"/>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1.75" thickBot="1">
      <c r="A51" s="746" t="s">
        <v>2662</v>
      </c>
      <c r="B51" s="742"/>
      <c r="C51" s="747"/>
      <c r="D51" s="747"/>
      <c r="E51" s="747"/>
      <c r="F51" s="748"/>
      <c r="G51" s="748"/>
      <c r="H51" s="747"/>
      <c r="I51" s="747"/>
      <c r="J51" s="747"/>
      <c r="K51" s="1143"/>
      <c r="L51" s="1144"/>
      <c r="M51" s="1142"/>
      <c r="N51" s="1142"/>
      <c r="O51" s="1142"/>
      <c r="P51" s="494"/>
      <c r="Q51" s="495"/>
    </row>
    <row r="52" spans="1:17" s="499" customFormat="1" ht="15">
      <c r="A52" s="496" t="s">
        <v>2536</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ht="15">
      <c r="A53" s="500"/>
      <c r="B53" s="501"/>
      <c r="C53" s="1556">
        <v>100</v>
      </c>
      <c r="D53" s="503"/>
      <c r="E53" s="503"/>
      <c r="F53" s="503"/>
      <c r="G53" s="503"/>
      <c r="H53" s="503"/>
      <c r="I53" s="503"/>
      <c r="J53" s="503"/>
      <c r="K53" s="503"/>
      <c r="L53" s="503"/>
      <c r="M53" s="504"/>
      <c r="N53" s="503"/>
      <c r="O53" s="505"/>
      <c r="P53" s="495"/>
    </row>
    <row r="54" spans="1:17" s="113" customFormat="1" ht="15.75" thickBot="1">
      <c r="A54" s="506" t="s">
        <v>2573</v>
      </c>
      <c r="B54" s="507"/>
      <c r="C54" s="508"/>
      <c r="D54" s="509"/>
      <c r="E54" s="509"/>
      <c r="F54" s="509"/>
      <c r="G54" s="509"/>
      <c r="H54" s="509"/>
      <c r="I54" s="509"/>
      <c r="J54" s="509"/>
      <c r="K54" s="509"/>
      <c r="L54" s="509"/>
      <c r="M54" s="510"/>
      <c r="N54" s="509"/>
      <c r="O54" s="511"/>
      <c r="P54" s="495"/>
      <c r="Q54" s="495"/>
    </row>
    <row r="55" spans="1:17" s="113" customFormat="1" ht="15">
      <c r="A55" s="512" t="s">
        <v>2538</v>
      </c>
      <c r="B55" s="501"/>
      <c r="C55" s="513" t="s">
        <v>2640</v>
      </c>
      <c r="D55" s="514"/>
      <c r="E55" s="514"/>
      <c r="F55" s="514"/>
      <c r="G55" s="514"/>
      <c r="H55" s="514"/>
      <c r="I55" s="514"/>
      <c r="J55" s="514"/>
      <c r="K55" s="514"/>
      <c r="L55" s="515"/>
      <c r="M55" s="516"/>
      <c r="N55" s="1134"/>
      <c r="O55" s="1134"/>
      <c r="P55" s="517"/>
      <c r="Q55" s="495"/>
    </row>
    <row r="56" spans="1:17" s="113" customFormat="1" ht="15.75" thickBot="1">
      <c r="A56" s="512"/>
      <c r="B56" s="501"/>
      <c r="C56" s="628">
        <v>100</v>
      </c>
      <c r="D56" s="503"/>
      <c r="E56" s="503"/>
      <c r="F56" s="503"/>
      <c r="G56" s="503"/>
      <c r="H56" s="503"/>
      <c r="I56" s="503"/>
      <c r="J56" s="503"/>
      <c r="K56" s="503"/>
      <c r="L56" s="503"/>
      <c r="M56" s="505"/>
      <c r="N56" s="1134"/>
      <c r="O56" s="1134"/>
      <c r="P56" s="495"/>
      <c r="Q56" s="495"/>
    </row>
    <row r="57" spans="1:17">
      <c r="A57" s="518" t="s">
        <v>2576</v>
      </c>
      <c r="B57" s="519" t="s">
        <v>2542</v>
      </c>
      <c r="C57" s="520">
        <f>C9</f>
        <v>0</v>
      </c>
      <c r="D57" s="521"/>
      <c r="E57" s="521"/>
      <c r="F57" s="521"/>
      <c r="G57" s="521"/>
      <c r="H57" s="521"/>
      <c r="I57" s="521"/>
      <c r="J57" s="521"/>
      <c r="K57" s="522"/>
      <c r="L57" s="523"/>
      <c r="M57" s="524"/>
      <c r="N57" s="1135"/>
      <c r="O57" s="1135"/>
      <c r="P57" s="45"/>
      <c r="Q57" s="495"/>
    </row>
    <row r="58" spans="1:17" ht="15.75" thickBot="1">
      <c r="A58" s="525"/>
      <c r="B58" s="526"/>
      <c r="C58" s="527">
        <v>100</v>
      </c>
      <c r="D58" s="527"/>
      <c r="E58" s="527"/>
      <c r="F58" s="527"/>
      <c r="G58" s="527"/>
      <c r="H58" s="527"/>
      <c r="I58" s="527"/>
      <c r="J58" s="527"/>
      <c r="K58" s="527"/>
      <c r="L58" s="527"/>
      <c r="M58" s="528"/>
      <c r="N58" s="1136"/>
      <c r="O58" s="1136"/>
      <c r="P58" s="45"/>
      <c r="Q58" s="495"/>
    </row>
    <row r="59" spans="1:17" ht="27.75" thickTop="1">
      <c r="A59" s="525"/>
      <c r="B59" s="529" t="s">
        <v>2545</v>
      </c>
      <c r="C59" s="530" t="s">
        <v>2577</v>
      </c>
      <c r="D59" s="530" t="s">
        <v>2578</v>
      </c>
      <c r="E59" s="530" t="s">
        <v>2579</v>
      </c>
      <c r="F59" s="530" t="s">
        <v>2580</v>
      </c>
      <c r="G59" s="530" t="s">
        <v>2581</v>
      </c>
      <c r="H59" s="530" t="s">
        <v>2582</v>
      </c>
      <c r="I59" s="530" t="s">
        <v>2583</v>
      </c>
      <c r="J59" s="530"/>
      <c r="K59" s="531"/>
      <c r="L59" s="532"/>
      <c r="M59" s="533"/>
      <c r="N59" s="1135"/>
      <c r="O59" s="1135"/>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75" thickTop="1">
      <c r="A61" s="525"/>
      <c r="B61" s="537" t="s">
        <v>2546</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ht="15">
      <c r="A62" s="525"/>
      <c r="B62" s="539"/>
      <c r="C62" s="540"/>
      <c r="D62" s="540"/>
      <c r="E62" s="540"/>
      <c r="F62" s="540"/>
      <c r="G62" s="540"/>
      <c r="H62" s="540"/>
      <c r="I62" s="540"/>
      <c r="J62" s="540"/>
      <c r="K62" s="541"/>
      <c r="L62" s="542"/>
      <c r="M62" s="543"/>
      <c r="N62" s="1135"/>
      <c r="O62" s="1135"/>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5.75" thickTop="1">
      <c r="A64" s="544"/>
      <c r="B64" s="529">
        <f>B12</f>
        <v>111</v>
      </c>
      <c r="C64" s="545"/>
      <c r="D64" s="545"/>
      <c r="E64" s="545"/>
      <c r="F64" s="545"/>
      <c r="G64" s="545"/>
      <c r="H64" s="546"/>
      <c r="I64" s="546"/>
      <c r="J64" s="546"/>
      <c r="K64" s="546"/>
      <c r="L64" s="547"/>
      <c r="M64" s="548"/>
      <c r="N64" s="1137"/>
      <c r="O64" s="1137"/>
      <c r="P64" s="549"/>
      <c r="Q64" s="550"/>
    </row>
    <row r="65" spans="1:17" s="462" customFormat="1" ht="15.75" thickBot="1">
      <c r="A65" s="544"/>
      <c r="B65" s="534"/>
      <c r="C65" s="551"/>
      <c r="D65" s="527"/>
      <c r="E65" s="527"/>
      <c r="F65" s="527"/>
      <c r="G65" s="527"/>
      <c r="H65" s="527"/>
      <c r="I65" s="527"/>
      <c r="J65" s="527"/>
      <c r="K65" s="527"/>
      <c r="L65" s="527"/>
      <c r="M65" s="528"/>
      <c r="N65" s="1136"/>
      <c r="O65" s="1136"/>
      <c r="P65" s="549"/>
      <c r="Q65" s="550"/>
    </row>
    <row r="66" spans="1:17" s="462" customFormat="1" ht="15.75" thickTop="1">
      <c r="A66" s="544"/>
      <c r="B66" s="529">
        <f>B13</f>
        <v>111</v>
      </c>
      <c r="C66" s="545"/>
      <c r="D66" s="545"/>
      <c r="E66" s="545"/>
      <c r="F66" s="545"/>
      <c r="G66" s="545"/>
      <c r="H66" s="546"/>
      <c r="I66" s="546"/>
      <c r="J66" s="546"/>
      <c r="K66" s="546"/>
      <c r="L66" s="547"/>
      <c r="M66" s="548"/>
      <c r="N66" s="1137"/>
      <c r="O66" s="1137"/>
      <c r="P66" s="461"/>
      <c r="Q66" s="552"/>
    </row>
    <row r="67" spans="1:17" s="462" customFormat="1" ht="15.75" thickBot="1">
      <c r="A67" s="544"/>
      <c r="B67" s="534"/>
      <c r="C67" s="551"/>
      <c r="D67" s="527"/>
      <c r="E67" s="527"/>
      <c r="F67" s="527"/>
      <c r="G67" s="551"/>
      <c r="H67" s="553"/>
      <c r="I67" s="553"/>
      <c r="J67" s="553"/>
      <c r="K67" s="553"/>
      <c r="L67" s="553"/>
      <c r="M67" s="554"/>
      <c r="N67" s="1137"/>
      <c r="O67" s="1137"/>
      <c r="P67" s="549"/>
      <c r="Q67" s="550"/>
    </row>
    <row r="68" spans="1:17" s="462" customFormat="1" ht="15.75" thickTop="1">
      <c r="A68" s="544"/>
      <c r="B68" s="537">
        <f>B14</f>
        <v>111</v>
      </c>
      <c r="C68" s="514"/>
      <c r="D68" s="514"/>
      <c r="E68" s="514"/>
      <c r="F68" s="514"/>
      <c r="G68" s="514"/>
      <c r="H68" s="555"/>
      <c r="I68" s="555"/>
      <c r="J68" s="555"/>
      <c r="K68" s="555"/>
      <c r="L68" s="556"/>
      <c r="M68" s="557"/>
      <c r="N68" s="1137"/>
      <c r="O68" s="1137"/>
      <c r="P68" s="558"/>
      <c r="Q68" s="550"/>
    </row>
    <row r="69" spans="1:17" s="462" customFormat="1" ht="15.75" thickBot="1">
      <c r="A69" s="559"/>
      <c r="B69" s="560"/>
      <c r="C69" s="561"/>
      <c r="D69" s="561"/>
      <c r="E69" s="561"/>
      <c r="F69" s="561"/>
      <c r="G69" s="561"/>
      <c r="H69" s="562"/>
      <c r="I69" s="562"/>
      <c r="J69" s="562"/>
      <c r="K69" s="562"/>
      <c r="L69" s="562"/>
      <c r="M69" s="563"/>
      <c r="N69" s="1137"/>
      <c r="O69" s="1137"/>
      <c r="P69" s="549"/>
      <c r="Q69" s="550"/>
    </row>
    <row r="70" spans="1:17">
      <c r="A70" s="518" t="s">
        <v>2547</v>
      </c>
      <c r="B70" s="519" t="s">
        <v>2693</v>
      </c>
      <c r="C70" s="564" t="s">
        <v>2585</v>
      </c>
      <c r="D70" s="564" t="s">
        <v>2586</v>
      </c>
      <c r="E70" s="564" t="s">
        <v>2587</v>
      </c>
      <c r="F70" s="564" t="s">
        <v>2588</v>
      </c>
      <c r="G70" s="564" t="s">
        <v>2589</v>
      </c>
      <c r="H70" s="520"/>
      <c r="I70" s="520"/>
      <c r="J70" s="520"/>
      <c r="K70" s="565"/>
      <c r="L70" s="566"/>
      <c r="M70" s="567"/>
      <c r="N70" s="1135"/>
      <c r="O70" s="1135"/>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75" thickTop="1">
      <c r="A72" s="525"/>
      <c r="B72" s="529" t="s">
        <v>2590</v>
      </c>
      <c r="C72" s="569" t="s">
        <v>2585</v>
      </c>
      <c r="D72" s="569" t="s">
        <v>2586</v>
      </c>
      <c r="E72" s="569" t="s">
        <v>2587</v>
      </c>
      <c r="F72" s="569" t="s">
        <v>2588</v>
      </c>
      <c r="G72" s="569" t="s">
        <v>2589</v>
      </c>
      <c r="H72" s="530"/>
      <c r="I72" s="530"/>
      <c r="J72" s="530"/>
      <c r="K72" s="531"/>
      <c r="L72" s="532"/>
      <c r="M72" s="533"/>
      <c r="N72" s="1135"/>
      <c r="O72" s="1135"/>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75" thickTop="1">
      <c r="A74" s="525"/>
      <c r="B74" s="529" t="s">
        <v>2591</v>
      </c>
      <c r="C74" s="569" t="s">
        <v>2585</v>
      </c>
      <c r="D74" s="569" t="s">
        <v>2586</v>
      </c>
      <c r="E74" s="569" t="s">
        <v>2587</v>
      </c>
      <c r="F74" s="569" t="s">
        <v>2588</v>
      </c>
      <c r="G74" s="569" t="s">
        <v>2589</v>
      </c>
      <c r="H74" s="530"/>
      <c r="I74" s="530"/>
      <c r="J74" s="530"/>
      <c r="K74" s="531"/>
      <c r="L74" s="532"/>
      <c r="M74" s="533"/>
      <c r="N74" s="1135"/>
      <c r="O74" s="1135"/>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75" thickTop="1">
      <c r="A76" s="525"/>
      <c r="B76" s="537" t="s">
        <v>2677</v>
      </c>
      <c r="C76" s="649" t="s">
        <v>2663</v>
      </c>
      <c r="D76" s="649" t="s">
        <v>2664</v>
      </c>
      <c r="E76" s="649" t="s">
        <v>2665</v>
      </c>
      <c r="F76" s="649" t="s">
        <v>2666</v>
      </c>
      <c r="G76" s="649" t="s">
        <v>2667</v>
      </c>
      <c r="H76" s="530"/>
      <c r="I76" s="530"/>
      <c r="J76" s="530"/>
      <c r="K76" s="530"/>
      <c r="L76" s="530"/>
      <c r="M76" s="1365"/>
      <c r="N76" s="1136"/>
      <c r="O76" s="1136"/>
      <c r="P76" s="45"/>
      <c r="Q76" s="495"/>
    </row>
    <row r="77" spans="1:17" ht="15.75"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75" thickTop="1">
      <c r="A78" s="525"/>
      <c r="B78" s="529" t="s">
        <v>2686</v>
      </c>
      <c r="C78" s="569" t="s">
        <v>2585</v>
      </c>
      <c r="D78" s="569" t="s">
        <v>2586</v>
      </c>
      <c r="E78" s="569" t="s">
        <v>2587</v>
      </c>
      <c r="F78" s="569" t="s">
        <v>2588</v>
      </c>
      <c r="G78" s="569" t="s">
        <v>2589</v>
      </c>
      <c r="H78" s="530"/>
      <c r="I78" s="530"/>
      <c r="J78" s="530"/>
      <c r="K78" s="531"/>
      <c r="L78" s="532"/>
      <c r="M78" s="533"/>
      <c r="N78" s="1135"/>
      <c r="O78" s="1135"/>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5.75" thickTop="1">
      <c r="A80" s="570"/>
      <c r="B80" s="529">
        <f>B25</f>
        <v>111</v>
      </c>
      <c r="C80" s="545"/>
      <c r="D80" s="545"/>
      <c r="E80" s="545"/>
      <c r="F80" s="545"/>
      <c r="G80" s="545"/>
      <c r="H80" s="545"/>
      <c r="I80" s="545"/>
      <c r="J80" s="545"/>
      <c r="K80" s="545"/>
      <c r="L80" s="571"/>
      <c r="M80" s="572"/>
      <c r="N80" s="1134"/>
      <c r="O80" s="1134"/>
      <c r="P80" s="45"/>
      <c r="Q80" s="495"/>
    </row>
    <row r="81" spans="1:17" s="113" customFormat="1" ht="15.75" thickBot="1">
      <c r="A81" s="570"/>
      <c r="B81" s="534"/>
      <c r="C81" s="551"/>
      <c r="D81" s="527"/>
      <c r="E81" s="527"/>
      <c r="F81" s="527"/>
      <c r="G81" s="527"/>
      <c r="H81" s="527"/>
      <c r="I81" s="527"/>
      <c r="J81" s="527"/>
      <c r="K81" s="527"/>
      <c r="L81" s="527"/>
      <c r="M81" s="528"/>
      <c r="N81" s="1136"/>
      <c r="O81" s="1136"/>
      <c r="P81" s="45"/>
      <c r="Q81" s="495"/>
    </row>
    <row r="82" spans="1:17" s="113" customFormat="1" ht="15.75" thickTop="1">
      <c r="A82" s="570"/>
      <c r="B82" s="529">
        <f>B26</f>
        <v>111</v>
      </c>
      <c r="C82" s="545"/>
      <c r="D82" s="545"/>
      <c r="E82" s="545"/>
      <c r="F82" s="545"/>
      <c r="G82" s="545"/>
      <c r="H82" s="545"/>
      <c r="I82" s="545"/>
      <c r="J82" s="545"/>
      <c r="K82" s="545"/>
      <c r="L82" s="571"/>
      <c r="M82" s="572"/>
      <c r="N82" s="1134"/>
      <c r="O82" s="1134"/>
      <c r="P82" s="45"/>
      <c r="Q82" s="495"/>
    </row>
    <row r="83" spans="1:17" s="113" customFormat="1" ht="15.75" thickBot="1">
      <c r="A83" s="570"/>
      <c r="B83" s="534"/>
      <c r="C83" s="551"/>
      <c r="D83" s="527"/>
      <c r="E83" s="527"/>
      <c r="F83" s="527"/>
      <c r="G83" s="527"/>
      <c r="H83" s="527"/>
      <c r="I83" s="527"/>
      <c r="J83" s="527"/>
      <c r="K83" s="527"/>
      <c r="L83" s="527"/>
      <c r="M83" s="528"/>
      <c r="N83" s="1136"/>
      <c r="O83" s="1136"/>
      <c r="P83" s="45"/>
      <c r="Q83" s="495"/>
    </row>
    <row r="84" spans="1:17" s="462" customFormat="1" ht="15.75" thickTop="1">
      <c r="A84" s="544"/>
      <c r="B84" s="529">
        <f>B27</f>
        <v>111</v>
      </c>
      <c r="C84" s="545"/>
      <c r="D84" s="545"/>
      <c r="E84" s="545"/>
      <c r="F84" s="545"/>
      <c r="G84" s="545"/>
      <c r="H84" s="545"/>
      <c r="I84" s="545"/>
      <c r="J84" s="545"/>
      <c r="K84" s="545"/>
      <c r="L84" s="571"/>
      <c r="M84" s="572"/>
      <c r="N84" s="1137"/>
      <c r="O84" s="1137"/>
      <c r="P84" s="549"/>
      <c r="Q84" s="550"/>
    </row>
    <row r="85" spans="1:17" s="462" customFormat="1" ht="15.75" thickBot="1">
      <c r="A85" s="544"/>
      <c r="B85" s="534"/>
      <c r="C85" s="551"/>
      <c r="D85" s="527"/>
      <c r="E85" s="527"/>
      <c r="F85" s="527"/>
      <c r="G85" s="527"/>
      <c r="H85" s="527"/>
      <c r="I85" s="527"/>
      <c r="J85" s="527"/>
      <c r="K85" s="527"/>
      <c r="L85" s="527"/>
      <c r="M85" s="528"/>
      <c r="N85" s="1137"/>
      <c r="O85" s="1137"/>
      <c r="P85" s="549"/>
      <c r="Q85" s="550"/>
    </row>
    <row r="86" spans="1:17" ht="15.75" thickTop="1">
      <c r="A86" s="525"/>
      <c r="B86" s="537">
        <f>B28</f>
        <v>111</v>
      </c>
      <c r="C86" s="514"/>
      <c r="D86" s="514"/>
      <c r="E86" s="514"/>
      <c r="F86" s="514"/>
      <c r="G86" s="578"/>
      <c r="H86" s="578"/>
      <c r="I86" s="578"/>
      <c r="J86" s="578"/>
      <c r="K86" s="579"/>
      <c r="L86" s="580"/>
      <c r="M86" s="581"/>
      <c r="N86" s="1135"/>
      <c r="O86" s="1135"/>
      <c r="P86" s="45"/>
      <c r="Q86" s="495"/>
    </row>
    <row r="87" spans="1:17" ht="15.75" thickBot="1">
      <c r="A87" s="2619"/>
      <c r="B87" s="560"/>
      <c r="C87" s="561"/>
      <c r="D87" s="561"/>
      <c r="E87" s="561"/>
      <c r="F87" s="561"/>
      <c r="G87" s="582"/>
      <c r="H87" s="582"/>
      <c r="I87" s="582"/>
      <c r="J87" s="582"/>
      <c r="K87" s="582"/>
      <c r="L87" s="582"/>
      <c r="M87" s="583"/>
      <c r="N87" s="1136"/>
      <c r="O87" s="1136"/>
      <c r="P87" s="45"/>
      <c r="Q87" s="495"/>
    </row>
    <row r="88" spans="1:17">
      <c r="A88" s="518" t="s">
        <v>2551</v>
      </c>
      <c r="B88" s="519" t="s">
        <v>2600</v>
      </c>
      <c r="C88" s="521"/>
      <c r="D88" s="521"/>
      <c r="E88" s="521"/>
      <c r="F88" s="521"/>
      <c r="G88" s="521"/>
      <c r="H88" s="521"/>
      <c r="I88" s="521"/>
      <c r="J88" s="521"/>
      <c r="K88" s="522"/>
      <c r="L88" s="523"/>
      <c r="M88" s="524"/>
      <c r="N88" s="1135"/>
      <c r="O88" s="1135"/>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75" thickTop="1">
      <c r="A90" s="525"/>
      <c r="B90" s="529" t="s">
        <v>2601</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5.75"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2602</v>
      </c>
      <c r="C93" s="545"/>
      <c r="D93" s="545"/>
      <c r="E93" s="574"/>
      <c r="F93" s="574"/>
      <c r="G93" s="574"/>
      <c r="H93" s="574"/>
      <c r="I93" s="574"/>
      <c r="J93" s="574"/>
      <c r="K93" s="575"/>
      <c r="L93" s="576"/>
      <c r="M93" s="577"/>
      <c r="N93" s="1135"/>
      <c r="O93" s="1135"/>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2604</v>
      </c>
      <c r="C95" s="545"/>
      <c r="D95" s="545"/>
      <c r="E95" s="545"/>
      <c r="F95" s="574"/>
      <c r="G95" s="574"/>
      <c r="H95" s="574"/>
      <c r="I95" s="574"/>
      <c r="J95" s="574"/>
      <c r="K95" s="575"/>
      <c r="L95" s="576"/>
      <c r="M95" s="577"/>
      <c r="N95" s="1135"/>
      <c r="O95" s="1135"/>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1991</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2605</v>
      </c>
      <c r="C100" s="545"/>
      <c r="D100" s="545"/>
      <c r="E100" s="545"/>
      <c r="F100" s="545"/>
      <c r="G100" s="545"/>
      <c r="H100" s="574"/>
      <c r="I100" s="574"/>
      <c r="J100" s="574"/>
      <c r="K100" s="575"/>
      <c r="L100" s="576"/>
      <c r="M100" s="577"/>
      <c r="N100" s="1137"/>
      <c r="O100" s="1137"/>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2606</v>
      </c>
      <c r="C102" s="545"/>
      <c r="D102" s="545"/>
      <c r="E102" s="545"/>
      <c r="F102" s="545"/>
      <c r="G102" s="545"/>
      <c r="H102" s="574"/>
      <c r="I102" s="574"/>
      <c r="J102" s="574"/>
      <c r="K102" s="575"/>
      <c r="L102" s="576"/>
      <c r="M102" s="577"/>
      <c r="N102" s="1135"/>
      <c r="O102" s="1135"/>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2608</v>
      </c>
      <c r="C104" s="545"/>
      <c r="D104" s="545"/>
      <c r="E104" s="545"/>
      <c r="F104" s="545"/>
      <c r="G104" s="545"/>
      <c r="H104" s="574"/>
      <c r="I104" s="574"/>
      <c r="J104" s="574"/>
      <c r="K104" s="575"/>
      <c r="L104" s="576"/>
      <c r="M104" s="577"/>
      <c r="N104" s="1135"/>
      <c r="O104" s="1135"/>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15" thickTop="1">
      <c r="A106" s="590"/>
      <c r="B106" s="625" t="s">
        <v>2694</v>
      </c>
      <c r="C106" s="569" t="s">
        <v>2585</v>
      </c>
      <c r="D106" s="569" t="s">
        <v>2586</v>
      </c>
      <c r="E106" s="569" t="s">
        <v>2587</v>
      </c>
      <c r="F106" s="569" t="s">
        <v>2588</v>
      </c>
      <c r="G106" s="569" t="s">
        <v>2589</v>
      </c>
      <c r="H106" s="530"/>
      <c r="I106" s="530"/>
      <c r="J106" s="530"/>
      <c r="K106" s="531"/>
      <c r="L106" s="532"/>
      <c r="M106" s="533"/>
      <c r="N106" s="1136"/>
      <c r="O106" s="1136"/>
      <c r="P106" s="626"/>
      <c r="Q106" s="627"/>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5"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5.75" thickBot="1">
      <c r="A109" s="544"/>
      <c r="B109" s="526"/>
      <c r="C109" s="551"/>
      <c r="D109" s="527"/>
      <c r="E109" s="527"/>
      <c r="F109" s="527"/>
      <c r="G109" s="551"/>
      <c r="H109" s="553"/>
      <c r="I109" s="553"/>
      <c r="J109" s="553"/>
      <c r="K109" s="553"/>
      <c r="L109" s="553"/>
      <c r="M109" s="554"/>
      <c r="N109" s="1137"/>
      <c r="O109" s="1137"/>
      <c r="P109" s="549"/>
      <c r="Q109" s="550"/>
    </row>
    <row r="110" spans="1:17" ht="15" thickTop="1">
      <c r="A110" s="590"/>
      <c r="B110" s="529">
        <f>B39</f>
        <v>111</v>
      </c>
      <c r="C110" s="545"/>
      <c r="D110" s="545"/>
      <c r="E110" s="545"/>
      <c r="F110" s="545"/>
      <c r="G110" s="545"/>
      <c r="H110" s="546"/>
      <c r="I110" s="546"/>
      <c r="J110" s="546"/>
      <c r="K110" s="546"/>
      <c r="L110" s="547"/>
      <c r="M110" s="548"/>
      <c r="N110" s="1135"/>
      <c r="O110" s="1135"/>
      <c r="P110" s="45"/>
      <c r="Q110" s="495"/>
    </row>
    <row r="111" spans="1:17" ht="15.75" thickBot="1">
      <c r="A111" s="525"/>
      <c r="B111" s="534"/>
      <c r="C111" s="551"/>
      <c r="D111" s="527"/>
      <c r="E111" s="527"/>
      <c r="F111" s="527"/>
      <c r="G111" s="551"/>
      <c r="H111" s="553"/>
      <c r="I111" s="553"/>
      <c r="J111" s="553"/>
      <c r="K111" s="553"/>
      <c r="L111" s="553"/>
      <c r="M111" s="554"/>
      <c r="N111" s="1136"/>
      <c r="O111" s="1136"/>
      <c r="P111" s="45"/>
      <c r="Q111" s="495"/>
    </row>
    <row r="112" spans="1:17" ht="15" thickTop="1">
      <c r="A112" s="590"/>
      <c r="B112" s="537">
        <f>B40</f>
        <v>111</v>
      </c>
      <c r="C112" s="514"/>
      <c r="D112" s="514"/>
      <c r="E112" s="514"/>
      <c r="F112" s="514"/>
      <c r="G112" s="578"/>
      <c r="H112" s="578"/>
      <c r="I112" s="578"/>
      <c r="J112" s="578"/>
      <c r="K112" s="514"/>
      <c r="L112" s="515"/>
      <c r="M112" s="581"/>
      <c r="N112" s="1135"/>
      <c r="O112" s="1135"/>
      <c r="P112" s="45"/>
      <c r="Q112" s="495"/>
    </row>
    <row r="113" spans="1:17" ht="15.75" thickBot="1">
      <c r="A113" s="2619"/>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06"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2695</v>
      </c>
      <c r="B1" s="1602"/>
      <c r="C1" s="1603" t="s">
        <v>2518</v>
      </c>
      <c r="D1" s="1604"/>
      <c r="E1" s="1605"/>
      <c r="F1" s="2567"/>
      <c r="G1" s="1606" t="s">
        <v>2631</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2315</v>
      </c>
      <c r="B2" s="1401" t="e">
        <f ca="1">IF(C2="——",IF(B37="元/平方米",ROUND(C39*D3/10000,0),ROUND(F3*C39/10000,0)),IF(B37="元/平方米",ROUND(C39*D3/10000,0),ROUND(F3*C39/10000,0))-D2)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2317</v>
      </c>
      <c r="B3" s="600" t="e">
        <f ca="1">IF(AND(C2="——",B37="元/平方米"),C39,ROUND(B2*10000/D3,0))</f>
        <v>#DIV/0!</v>
      </c>
      <c r="C3" s="391" t="s">
        <v>2632</v>
      </c>
      <c r="D3" s="390">
        <f>SUMIF('数据-汇总表'!$C19:$C33,D1,'数据-汇总表'!$E19:$E33)</f>
        <v>0</v>
      </c>
      <c r="E3" s="391" t="s">
        <v>2696</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5">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ht="15">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7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75" thickBot="1">
      <c r="A7" s="399" t="s">
        <v>2536</v>
      </c>
      <c r="B7" s="400"/>
      <c r="C7" s="401">
        <f>'数据-取费表'!B2</f>
        <v>43886</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16" t="s">
        <v>2537</v>
      </c>
      <c r="Q7" s="3228"/>
      <c r="R7" s="753" t="s">
        <v>17</v>
      </c>
      <c r="S7" s="754">
        <f t="shared" ref="S7:S14" si="0">F7</f>
        <v>0</v>
      </c>
      <c r="T7" s="753" t="s">
        <v>17</v>
      </c>
      <c r="U7" s="754">
        <f t="shared" ref="U7:U14" si="1">H7</f>
        <v>0</v>
      </c>
      <c r="V7" s="753" t="s">
        <v>17</v>
      </c>
      <c r="W7" s="754">
        <f t="shared" ref="W7:W14" si="2">J7</f>
        <v>0</v>
      </c>
      <c r="X7" s="755"/>
      <c r="Y7" s="3216" t="s">
        <v>2537</v>
      </c>
      <c r="Z7" s="3217"/>
      <c r="AA7" s="756" t="e">
        <f>D7/F7</f>
        <v>#DIV/0!</v>
      </c>
      <c r="AB7" s="756" t="e">
        <f>D7/H7</f>
        <v>#DIV/0!</v>
      </c>
      <c r="AC7" s="756" t="e">
        <f>D7/J7</f>
        <v>#DIV/0!</v>
      </c>
    </row>
    <row r="8" spans="1:29" s="113" customFormat="1" ht="15.75" thickBot="1">
      <c r="A8" s="399" t="s">
        <v>2538</v>
      </c>
      <c r="B8" s="400"/>
      <c r="C8" s="405" t="s">
        <v>2640</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36" si="3">D8/F8</f>
        <v>#DIV/0!</v>
      </c>
      <c r="AB8" s="756" t="e">
        <f t="shared" ref="AB8:AB36" si="4">D8/H8</f>
        <v>#DIV/0!</v>
      </c>
      <c r="AC8" s="756" t="e">
        <f t="shared" ref="AC8:AC36" si="5">D8/J8</f>
        <v>#DIV/0!</v>
      </c>
    </row>
    <row r="9" spans="1:29" s="113" customFormat="1">
      <c r="A9" s="67" t="s">
        <v>2541</v>
      </c>
      <c r="B9" s="629" t="s">
        <v>2542</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201" t="s">
        <v>2543</v>
      </c>
      <c r="Q9" s="1778" t="str">
        <f t="shared" ref="Q9:Q14" si="6">B9</f>
        <v>用途</v>
      </c>
      <c r="R9" s="753" t="s">
        <v>17</v>
      </c>
      <c r="S9" s="754">
        <f t="shared" si="0"/>
        <v>100</v>
      </c>
      <c r="T9" s="753" t="s">
        <v>17</v>
      </c>
      <c r="U9" s="754">
        <f t="shared" si="1"/>
        <v>100</v>
      </c>
      <c r="V9" s="753" t="s">
        <v>17</v>
      </c>
      <c r="W9" s="754">
        <f t="shared" si="2"/>
        <v>100</v>
      </c>
      <c r="X9" s="755"/>
      <c r="Y9" s="3073" t="s">
        <v>2544</v>
      </c>
      <c r="Z9" s="55" t="str">
        <f t="shared" ref="Z9:Z14" si="7">Q9</f>
        <v>用途</v>
      </c>
      <c r="AA9" s="756">
        <f t="shared" si="3"/>
        <v>1</v>
      </c>
      <c r="AB9" s="756">
        <f t="shared" si="4"/>
        <v>1</v>
      </c>
      <c r="AC9" s="756">
        <f t="shared" si="5"/>
        <v>1</v>
      </c>
    </row>
    <row r="10" spans="1:29" s="418" customFormat="1" ht="27">
      <c r="A10" s="630"/>
      <c r="B10" s="631" t="s">
        <v>2545</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201"/>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201"/>
      <c r="Q11" s="1778">
        <f t="shared" si="6"/>
        <v>111</v>
      </c>
      <c r="R11" s="753" t="s">
        <v>17</v>
      </c>
      <c r="S11" s="754">
        <f t="shared" si="0"/>
        <v>100</v>
      </c>
      <c r="T11" s="753" t="s">
        <v>17</v>
      </c>
      <c r="U11" s="754">
        <f t="shared" si="1"/>
        <v>100</v>
      </c>
      <c r="V11" s="753" t="s">
        <v>17</v>
      </c>
      <c r="W11" s="754">
        <f t="shared" si="2"/>
        <v>100</v>
      </c>
      <c r="X11" s="755"/>
      <c r="Y11" s="3073"/>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75"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
      <c r="A14" s="392" t="s">
        <v>2547</v>
      </c>
      <c r="B14" s="618" t="s">
        <v>2697</v>
      </c>
      <c r="C14" s="2676">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208" t="s">
        <v>2548</v>
      </c>
      <c r="Q14" s="1793" t="str">
        <f t="shared" si="6"/>
        <v>交通便捷度</v>
      </c>
      <c r="R14" s="757" t="s">
        <v>17</v>
      </c>
      <c r="S14" s="758">
        <f t="shared" si="0"/>
        <v>100</v>
      </c>
      <c r="T14" s="757" t="s">
        <v>17</v>
      </c>
      <c r="U14" s="758">
        <f t="shared" si="1"/>
        <v>100</v>
      </c>
      <c r="V14" s="757" t="s">
        <v>17</v>
      </c>
      <c r="W14" s="758">
        <f t="shared" si="2"/>
        <v>100</v>
      </c>
      <c r="X14" s="1796"/>
      <c r="Y14" s="3208" t="s">
        <v>2548</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209"/>
      <c r="Q15" s="1793"/>
      <c r="R15" s="757"/>
      <c r="S15" s="758"/>
      <c r="T15" s="757"/>
      <c r="U15" s="758"/>
      <c r="V15" s="757"/>
      <c r="W15" s="758"/>
      <c r="X15" s="1796"/>
      <c r="Y15" s="3209"/>
      <c r="Z15" s="1797"/>
      <c r="AA15" s="1794">
        <v>1</v>
      </c>
      <c r="AB15" s="1794">
        <v>1</v>
      </c>
      <c r="AC15" s="1794">
        <v>1</v>
      </c>
    </row>
    <row r="16" spans="1:29" ht="15">
      <c r="A16" s="395"/>
      <c r="B16" s="620" t="s">
        <v>2676</v>
      </c>
      <c r="C16" s="2590">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209"/>
      <c r="Q16" s="1793" t="str">
        <f>B16</f>
        <v>公共配套设施</v>
      </c>
      <c r="R16" s="757" t="s">
        <v>17</v>
      </c>
      <c r="S16" s="758">
        <f>F16</f>
        <v>100</v>
      </c>
      <c r="T16" s="757" t="s">
        <v>17</v>
      </c>
      <c r="U16" s="758">
        <f>H16</f>
        <v>100</v>
      </c>
      <c r="V16" s="757" t="s">
        <v>17</v>
      </c>
      <c r="W16" s="758">
        <f>J16</f>
        <v>100</v>
      </c>
      <c r="X16" s="1796"/>
      <c r="Y16" s="3209"/>
      <c r="Z16" s="1797" t="str">
        <f>Q16</f>
        <v>公共配套设施</v>
      </c>
      <c r="AA16" s="1794">
        <f t="shared" si="3"/>
        <v>1</v>
      </c>
      <c r="AB16" s="1794">
        <f t="shared" si="4"/>
        <v>1</v>
      </c>
      <c r="AC16" s="1794">
        <f t="shared" si="5"/>
        <v>1</v>
      </c>
    </row>
    <row r="17" spans="1:29" ht="15">
      <c r="A17" s="395"/>
      <c r="B17" s="621"/>
      <c r="C17" s="2591"/>
      <c r="D17" s="439"/>
      <c r="E17" s="438"/>
      <c r="F17" s="440"/>
      <c r="G17" s="438"/>
      <c r="H17" s="439"/>
      <c r="I17" s="438"/>
      <c r="J17" s="439"/>
      <c r="K17" s="606"/>
      <c r="L17" s="1123"/>
      <c r="M17" s="1114"/>
      <c r="N17" s="1114"/>
      <c r="O17" s="1114"/>
      <c r="P17" s="3209"/>
      <c r="Q17" s="1793"/>
      <c r="R17" s="757"/>
      <c r="S17" s="758"/>
      <c r="T17" s="757"/>
      <c r="U17" s="758"/>
      <c r="V17" s="757"/>
      <c r="W17" s="758"/>
      <c r="X17" s="1796"/>
      <c r="Y17" s="3209"/>
      <c r="Z17" s="1797"/>
      <c r="AA17" s="1794">
        <v>1</v>
      </c>
      <c r="AB17" s="1794">
        <v>1</v>
      </c>
      <c r="AC17" s="1794">
        <v>1</v>
      </c>
    </row>
    <row r="18" spans="1:29" ht="15">
      <c r="A18" s="395"/>
      <c r="B18" s="622" t="s">
        <v>2677</v>
      </c>
      <c r="C18" s="2590">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209"/>
      <c r="Q18" s="1793" t="str">
        <f>B18</f>
        <v>基础设施水平</v>
      </c>
      <c r="R18" s="757" t="s">
        <v>17</v>
      </c>
      <c r="S18" s="758">
        <f>F18</f>
        <v>100</v>
      </c>
      <c r="T18" s="757" t="s">
        <v>17</v>
      </c>
      <c r="U18" s="758">
        <f>H18</f>
        <v>100</v>
      </c>
      <c r="V18" s="757" t="s">
        <v>17</v>
      </c>
      <c r="W18" s="758">
        <f>J18</f>
        <v>100</v>
      </c>
      <c r="X18" s="1796"/>
      <c r="Y18" s="3209"/>
      <c r="Z18" s="1797" t="str">
        <f>Q18</f>
        <v>基础设施水平</v>
      </c>
      <c r="AA18" s="1794">
        <f t="shared" ref="AA18" si="8">D18/F18</f>
        <v>1</v>
      </c>
      <c r="AB18" s="1794">
        <f t="shared" ref="AB18" si="9">D18/H18</f>
        <v>1</v>
      </c>
      <c r="AC18" s="1794">
        <f t="shared" ref="AC18" si="10">D18/J18</f>
        <v>1</v>
      </c>
    </row>
    <row r="19" spans="1:29" ht="15">
      <c r="A19" s="395"/>
      <c r="B19" s="622"/>
      <c r="C19" s="2591"/>
      <c r="D19" s="441"/>
      <c r="E19" s="2591"/>
      <c r="F19" s="444"/>
      <c r="G19" s="2591"/>
      <c r="H19" s="439"/>
      <c r="I19" s="438"/>
      <c r="J19" s="439"/>
      <c r="K19" s="1366"/>
      <c r="L19" s="1123"/>
      <c r="M19" s="1114"/>
      <c r="N19" s="1114"/>
      <c r="O19" s="1114"/>
      <c r="P19" s="3209"/>
      <c r="Q19" s="1793"/>
      <c r="R19" s="757"/>
      <c r="S19" s="758"/>
      <c r="T19" s="757"/>
      <c r="U19" s="758"/>
      <c r="V19" s="757"/>
      <c r="W19" s="758"/>
      <c r="X19" s="1796"/>
      <c r="Y19" s="3209"/>
      <c r="Z19" s="1797"/>
      <c r="AA19" s="1794">
        <v>1</v>
      </c>
      <c r="AB19" s="1794">
        <v>1</v>
      </c>
      <c r="AC19" s="1794">
        <v>1</v>
      </c>
    </row>
    <row r="20" spans="1:29" ht="15">
      <c r="A20" s="395"/>
      <c r="B20" s="620" t="s">
        <v>2698</v>
      </c>
      <c r="C20" s="2590">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209"/>
      <c r="Q20" s="1793" t="str">
        <f>B20</f>
        <v>自然及人文环境</v>
      </c>
      <c r="R20" s="757" t="s">
        <v>17</v>
      </c>
      <c r="S20" s="758">
        <f>F20</f>
        <v>100</v>
      </c>
      <c r="T20" s="757" t="s">
        <v>17</v>
      </c>
      <c r="U20" s="758">
        <f>H20</f>
        <v>100</v>
      </c>
      <c r="V20" s="757" t="s">
        <v>17</v>
      </c>
      <c r="W20" s="758">
        <f>J20</f>
        <v>100</v>
      </c>
      <c r="X20" s="1796"/>
      <c r="Y20" s="3209"/>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209"/>
      <c r="Q21" s="1793"/>
      <c r="R21" s="757"/>
      <c r="S21" s="758"/>
      <c r="T21" s="757"/>
      <c r="U21" s="758"/>
      <c r="V21" s="757"/>
      <c r="W21" s="758"/>
      <c r="X21" s="1796"/>
      <c r="Y21" s="3209"/>
      <c r="Z21" s="1797"/>
      <c r="AA21" s="1794">
        <v>1</v>
      </c>
      <c r="AB21" s="1794">
        <v>1</v>
      </c>
      <c r="AC21" s="1794">
        <v>1</v>
      </c>
    </row>
    <row r="22" spans="1:29" ht="15">
      <c r="A22" s="395"/>
      <c r="B22" s="620" t="s">
        <v>2699</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209"/>
      <c r="Q22" s="1793" t="str">
        <f>B22</f>
        <v>楼层</v>
      </c>
      <c r="R22" s="757" t="s">
        <v>17</v>
      </c>
      <c r="S22" s="758">
        <f>F22</f>
        <v>100</v>
      </c>
      <c r="T22" s="757" t="s">
        <v>17</v>
      </c>
      <c r="U22" s="758">
        <f>H22</f>
        <v>100</v>
      </c>
      <c r="V22" s="757" t="s">
        <v>17</v>
      </c>
      <c r="W22" s="758">
        <f>J22</f>
        <v>100</v>
      </c>
      <c r="X22" s="1796"/>
      <c r="Y22" s="3209"/>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209"/>
      <c r="Q23" s="1793">
        <f>B23</f>
        <v>111</v>
      </c>
      <c r="R23" s="757" t="s">
        <v>17</v>
      </c>
      <c r="S23" s="758">
        <f>F23</f>
        <v>100</v>
      </c>
      <c r="T23" s="757" t="s">
        <v>17</v>
      </c>
      <c r="U23" s="758">
        <f>H23</f>
        <v>100</v>
      </c>
      <c r="V23" s="757" t="s">
        <v>17</v>
      </c>
      <c r="W23" s="758">
        <f>J23</f>
        <v>100</v>
      </c>
      <c r="X23" s="1796"/>
      <c r="Y23" s="3209"/>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209"/>
      <c r="Q24" s="1793">
        <f t="shared" ref="Q24:Q36" si="11">B24</f>
        <v>111</v>
      </c>
      <c r="R24" s="757" t="s">
        <v>17</v>
      </c>
      <c r="S24" s="758">
        <f>F24</f>
        <v>100</v>
      </c>
      <c r="T24" s="757" t="s">
        <v>17</v>
      </c>
      <c r="U24" s="758">
        <f>H24</f>
        <v>100</v>
      </c>
      <c r="V24" s="757" t="s">
        <v>17</v>
      </c>
      <c r="W24" s="758">
        <f>J24</f>
        <v>100</v>
      </c>
      <c r="X24" s="1796"/>
      <c r="Y24" s="3209"/>
      <c r="Z24" s="1797">
        <f>Q24</f>
        <v>111</v>
      </c>
      <c r="AA24" s="1794">
        <f t="shared" si="3"/>
        <v>1</v>
      </c>
      <c r="AB24" s="1794">
        <f t="shared" si="4"/>
        <v>1</v>
      </c>
      <c r="AC24" s="1794">
        <f t="shared" si="5"/>
        <v>1</v>
      </c>
    </row>
    <row r="25" spans="1:29" s="113" customFormat="1" ht="15.75"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209"/>
      <c r="Q25" s="1778">
        <f t="shared" si="11"/>
        <v>111</v>
      </c>
      <c r="R25" s="753" t="s">
        <v>17</v>
      </c>
      <c r="S25" s="754">
        <f>F25</f>
        <v>100</v>
      </c>
      <c r="T25" s="753" t="s">
        <v>17</v>
      </c>
      <c r="U25" s="754">
        <f>H25</f>
        <v>100</v>
      </c>
      <c r="V25" s="753" t="s">
        <v>17</v>
      </c>
      <c r="W25" s="754">
        <f>J25</f>
        <v>100</v>
      </c>
      <c r="X25" s="755"/>
      <c r="Y25" s="3209"/>
      <c r="Z25" s="55">
        <f>Q25</f>
        <v>111</v>
      </c>
      <c r="AA25" s="1794">
        <f>D25/F25</f>
        <v>1</v>
      </c>
      <c r="AB25" s="1794">
        <f>D25/H25</f>
        <v>1</v>
      </c>
      <c r="AC25" s="1794">
        <f>D25/J25</f>
        <v>1</v>
      </c>
    </row>
    <row r="26" spans="1:29" ht="28.5">
      <c r="A26" s="641" t="s">
        <v>2551</v>
      </c>
      <c r="B26" s="69" t="s">
        <v>2700</v>
      </c>
      <c r="C26" s="2677">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88" t="s">
        <v>2553</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213" t="s">
        <v>2553</v>
      </c>
      <c r="Z26" s="1797" t="str">
        <f t="shared" ref="Z26:Z36" si="15">Q26</f>
        <v>配套类型</v>
      </c>
      <c r="AA26" s="1794">
        <f t="shared" si="3"/>
        <v>1</v>
      </c>
      <c r="AB26" s="1794">
        <f t="shared" si="4"/>
        <v>1</v>
      </c>
      <c r="AC26" s="1794">
        <f t="shared" si="5"/>
        <v>1</v>
      </c>
    </row>
    <row r="27" spans="1:29" s="462" customFormat="1" ht="15">
      <c r="A27" s="642"/>
      <c r="B27" s="643" t="s">
        <v>2701</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213"/>
      <c r="Q27" s="759" t="str">
        <f t="shared" si="11"/>
        <v>项目停车位配比</v>
      </c>
      <c r="R27" s="760" t="s">
        <v>17</v>
      </c>
      <c r="S27" s="761">
        <f t="shared" si="12"/>
        <v>100</v>
      </c>
      <c r="T27" s="760" t="s">
        <v>17</v>
      </c>
      <c r="U27" s="761">
        <f t="shared" si="13"/>
        <v>100</v>
      </c>
      <c r="V27" s="760" t="s">
        <v>17</v>
      </c>
      <c r="W27" s="761">
        <f t="shared" si="14"/>
        <v>100</v>
      </c>
      <c r="X27" s="762"/>
      <c r="Y27" s="3213"/>
      <c r="Z27" s="763" t="str">
        <f t="shared" si="15"/>
        <v>项目停车位配比</v>
      </c>
      <c r="AA27" s="1794">
        <f t="shared" si="3"/>
        <v>1</v>
      </c>
      <c r="AB27" s="1794">
        <f t="shared" si="4"/>
        <v>1</v>
      </c>
      <c r="AC27" s="1794">
        <f t="shared" si="5"/>
        <v>1</v>
      </c>
    </row>
    <row r="28" spans="1:29" ht="15">
      <c r="A28" s="645"/>
      <c r="B28" s="643" t="s">
        <v>2702</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213"/>
      <c r="Q28" s="1793" t="str">
        <f t="shared" si="11"/>
        <v>公共部分装修</v>
      </c>
      <c r="R28" s="757" t="s">
        <v>17</v>
      </c>
      <c r="S28" s="758">
        <f t="shared" si="12"/>
        <v>100</v>
      </c>
      <c r="T28" s="757" t="s">
        <v>17</v>
      </c>
      <c r="U28" s="758">
        <f t="shared" si="13"/>
        <v>100</v>
      </c>
      <c r="V28" s="757" t="s">
        <v>17</v>
      </c>
      <c r="W28" s="758">
        <f t="shared" si="14"/>
        <v>100</v>
      </c>
      <c r="X28" s="1796"/>
      <c r="Y28" s="3213"/>
      <c r="Z28" s="1797" t="str">
        <f t="shared" si="15"/>
        <v>公共部分装修</v>
      </c>
      <c r="AA28" s="1794">
        <f t="shared" si="3"/>
        <v>1</v>
      </c>
      <c r="AB28" s="1794">
        <f t="shared" si="4"/>
        <v>1</v>
      </c>
      <c r="AC28" s="1794">
        <f t="shared" si="5"/>
        <v>1</v>
      </c>
    </row>
    <row r="29" spans="1:29" ht="15">
      <c r="A29" s="645"/>
      <c r="B29" s="643" t="s">
        <v>2703</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213"/>
      <c r="Q29" s="1793" t="str">
        <f t="shared" si="11"/>
        <v>成新率</v>
      </c>
      <c r="R29" s="757" t="s">
        <v>17</v>
      </c>
      <c r="S29" s="758" t="e">
        <f t="shared" si="12"/>
        <v>#N/A</v>
      </c>
      <c r="T29" s="757" t="s">
        <v>17</v>
      </c>
      <c r="U29" s="758" t="e">
        <f t="shared" si="13"/>
        <v>#N/A</v>
      </c>
      <c r="V29" s="757" t="s">
        <v>17</v>
      </c>
      <c r="W29" s="758" t="e">
        <f t="shared" si="14"/>
        <v>#N/A</v>
      </c>
      <c r="X29" s="1796"/>
      <c r="Y29" s="3213"/>
      <c r="Z29" s="1797" t="str">
        <f t="shared" si="15"/>
        <v>成新率</v>
      </c>
      <c r="AA29" s="1794" t="e">
        <f t="shared" si="3"/>
        <v>#N/A</v>
      </c>
      <c r="AB29" s="1794" t="e">
        <f t="shared" si="4"/>
        <v>#N/A</v>
      </c>
      <c r="AC29" s="1794" t="e">
        <f t="shared" si="5"/>
        <v>#N/A</v>
      </c>
    </row>
    <row r="30" spans="1:29" ht="15">
      <c r="A30" s="645"/>
      <c r="B30" s="643" t="s">
        <v>2704</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213"/>
      <c r="Q30" s="1793" t="str">
        <f t="shared" si="11"/>
        <v>物业等级</v>
      </c>
      <c r="R30" s="757" t="s">
        <v>17</v>
      </c>
      <c r="S30" s="758">
        <f t="shared" si="12"/>
        <v>100</v>
      </c>
      <c r="T30" s="757" t="s">
        <v>17</v>
      </c>
      <c r="U30" s="758">
        <f t="shared" si="13"/>
        <v>100</v>
      </c>
      <c r="V30" s="757" t="s">
        <v>17</v>
      </c>
      <c r="W30" s="758">
        <f t="shared" si="14"/>
        <v>100</v>
      </c>
      <c r="X30" s="1796"/>
      <c r="Y30" s="3213"/>
      <c r="Z30" s="1797" t="str">
        <f t="shared" si="15"/>
        <v>物业等级</v>
      </c>
      <c r="AA30" s="1794">
        <f t="shared" si="3"/>
        <v>1</v>
      </c>
      <c r="AB30" s="1794">
        <f t="shared" si="4"/>
        <v>1</v>
      </c>
      <c r="AC30" s="1794">
        <f t="shared" si="5"/>
        <v>1</v>
      </c>
    </row>
    <row r="31" spans="1:29" s="113" customFormat="1" ht="15">
      <c r="A31" s="647"/>
      <c r="B31" s="643" t="s">
        <v>2705</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213"/>
      <c r="Q31" s="1778" t="str">
        <f t="shared" si="11"/>
        <v>停车位面积</v>
      </c>
      <c r="R31" s="753" t="s">
        <v>17</v>
      </c>
      <c r="S31" s="754" t="e">
        <f t="shared" si="12"/>
        <v>#N/A</v>
      </c>
      <c r="T31" s="753" t="s">
        <v>17</v>
      </c>
      <c r="U31" s="754" t="e">
        <f t="shared" si="13"/>
        <v>#N/A</v>
      </c>
      <c r="V31" s="753" t="s">
        <v>17</v>
      </c>
      <c r="W31" s="754" t="e">
        <f t="shared" si="14"/>
        <v>#N/A</v>
      </c>
      <c r="X31" s="755"/>
      <c r="Y31" s="3213"/>
      <c r="Z31" s="55" t="str">
        <f t="shared" si="15"/>
        <v>停车位面积</v>
      </c>
      <c r="AA31" s="756" t="e">
        <f t="shared" si="3"/>
        <v>#N/A</v>
      </c>
      <c r="AB31" s="756" t="e">
        <f t="shared" si="4"/>
        <v>#N/A</v>
      </c>
      <c r="AC31" s="756" t="e">
        <f t="shared" si="5"/>
        <v>#N/A</v>
      </c>
    </row>
    <row r="32" spans="1:29" ht="15">
      <c r="A32" s="645"/>
      <c r="B32" s="643" t="s">
        <v>2706</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213" t="s">
        <v>2553</v>
      </c>
      <c r="Q32" s="1793" t="str">
        <f t="shared" si="11"/>
        <v>车位类型</v>
      </c>
      <c r="R32" s="757" t="s">
        <v>17</v>
      </c>
      <c r="S32" s="758">
        <f t="shared" si="12"/>
        <v>100</v>
      </c>
      <c r="T32" s="757" t="s">
        <v>17</v>
      </c>
      <c r="U32" s="758">
        <f t="shared" si="13"/>
        <v>100</v>
      </c>
      <c r="V32" s="757" t="s">
        <v>17</v>
      </c>
      <c r="W32" s="758">
        <f t="shared" si="14"/>
        <v>100</v>
      </c>
      <c r="X32" s="1796"/>
      <c r="Y32" s="3213" t="s">
        <v>2553</v>
      </c>
      <c r="Z32" s="1797" t="str">
        <f t="shared" si="15"/>
        <v>车位类型</v>
      </c>
      <c r="AA32" s="1794">
        <f t="shared" si="3"/>
        <v>1</v>
      </c>
      <c r="AB32" s="1794">
        <f t="shared" si="4"/>
        <v>1</v>
      </c>
      <c r="AC32" s="1794">
        <f t="shared" si="5"/>
        <v>1</v>
      </c>
    </row>
    <row r="33" spans="1:29" ht="15">
      <c r="A33" s="645"/>
      <c r="B33" s="643" t="s">
        <v>2707</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213"/>
      <c r="Q33" s="1793" t="str">
        <f t="shared" si="11"/>
        <v>是否直接入户</v>
      </c>
      <c r="R33" s="757" t="s">
        <v>17</v>
      </c>
      <c r="S33" s="758">
        <f t="shared" si="12"/>
        <v>100</v>
      </c>
      <c r="T33" s="757" t="s">
        <v>17</v>
      </c>
      <c r="U33" s="758">
        <f t="shared" si="13"/>
        <v>100</v>
      </c>
      <c r="V33" s="757" t="s">
        <v>17</v>
      </c>
      <c r="W33" s="758">
        <f t="shared" si="14"/>
        <v>100</v>
      </c>
      <c r="X33" s="1796"/>
      <c r="Y33" s="3213"/>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213"/>
      <c r="Q34" s="1793">
        <f t="shared" si="11"/>
        <v>111</v>
      </c>
      <c r="R34" s="757" t="s">
        <v>17</v>
      </c>
      <c r="S34" s="758">
        <f t="shared" si="12"/>
        <v>100</v>
      </c>
      <c r="T34" s="757" t="s">
        <v>17</v>
      </c>
      <c r="U34" s="758">
        <f t="shared" si="13"/>
        <v>100</v>
      </c>
      <c r="V34" s="757" t="s">
        <v>17</v>
      </c>
      <c r="W34" s="758">
        <f t="shared" si="14"/>
        <v>100</v>
      </c>
      <c r="X34" s="1796"/>
      <c r="Y34" s="3213"/>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213"/>
      <c r="Q35" s="759">
        <f t="shared" si="11"/>
        <v>111</v>
      </c>
      <c r="R35" s="760" t="s">
        <v>17</v>
      </c>
      <c r="S35" s="761">
        <f t="shared" si="12"/>
        <v>100</v>
      </c>
      <c r="T35" s="760" t="s">
        <v>17</v>
      </c>
      <c r="U35" s="761">
        <f t="shared" si="13"/>
        <v>100</v>
      </c>
      <c r="V35" s="760" t="s">
        <v>17</v>
      </c>
      <c r="W35" s="761">
        <f t="shared" si="14"/>
        <v>100</v>
      </c>
      <c r="X35" s="762"/>
      <c r="Y35" s="3213"/>
      <c r="Z35" s="763">
        <f t="shared" si="15"/>
        <v>111</v>
      </c>
      <c r="AA35" s="1794">
        <f t="shared" si="3"/>
        <v>1</v>
      </c>
      <c r="AB35" s="1794">
        <f t="shared" si="4"/>
        <v>1</v>
      </c>
      <c r="AC35" s="1794">
        <f t="shared" si="5"/>
        <v>1</v>
      </c>
    </row>
    <row r="36" spans="1:29" ht="15.75"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213"/>
      <c r="Q36" s="1793">
        <f t="shared" si="11"/>
        <v>111</v>
      </c>
      <c r="R36" s="757" t="s">
        <v>17</v>
      </c>
      <c r="S36" s="758">
        <f t="shared" si="12"/>
        <v>100</v>
      </c>
      <c r="T36" s="757" t="s">
        <v>17</v>
      </c>
      <c r="U36" s="758">
        <f t="shared" si="13"/>
        <v>100</v>
      </c>
      <c r="V36" s="757" t="s">
        <v>17</v>
      </c>
      <c r="W36" s="758">
        <f t="shared" si="14"/>
        <v>100</v>
      </c>
      <c r="X36" s="1796"/>
      <c r="Y36" s="3213"/>
      <c r="Z36" s="1797">
        <f t="shared" si="15"/>
        <v>111</v>
      </c>
      <c r="AA36" s="1794">
        <f t="shared" si="3"/>
        <v>1</v>
      </c>
      <c r="AB36" s="1794">
        <f t="shared" si="4"/>
        <v>1</v>
      </c>
      <c r="AC36" s="1794">
        <f t="shared" si="5"/>
        <v>1</v>
      </c>
    </row>
    <row r="37" spans="1:29" ht="15">
      <c r="A37" s="470" t="s">
        <v>2708</v>
      </c>
      <c r="B37" s="2678" t="s">
        <v>2709</v>
      </c>
      <c r="C37" s="1390" t="s">
        <v>1</v>
      </c>
      <c r="D37" s="1391"/>
      <c r="E37" s="1392"/>
      <c r="F37" s="1393"/>
      <c r="G37" s="1394"/>
      <c r="H37" s="1395"/>
      <c r="I37" s="1392"/>
      <c r="J37" s="1395"/>
      <c r="K37" s="608"/>
      <c r="L37" s="1126"/>
      <c r="M37" s="1127"/>
      <c r="N37" s="1114"/>
      <c r="O37" s="1127"/>
      <c r="P37" s="3201" t="str">
        <f>A37</f>
        <v>成交单价</v>
      </c>
      <c r="Q37" s="3201"/>
      <c r="R37" s="3202">
        <f>E37</f>
        <v>0</v>
      </c>
      <c r="S37" s="3202"/>
      <c r="T37" s="3202">
        <f>G37</f>
        <v>0</v>
      </c>
      <c r="U37" s="3202"/>
      <c r="V37" s="3202">
        <f>I37</f>
        <v>0</v>
      </c>
      <c r="W37" s="3202"/>
      <c r="X37" s="742"/>
      <c r="Y37" s="764"/>
      <c r="Z37" s="742"/>
      <c r="AA37" s="742"/>
      <c r="AB37" s="742"/>
      <c r="AC37" s="742"/>
    </row>
    <row r="38" spans="1:29" ht="15.75" thickBot="1">
      <c r="A38" s="477" t="s">
        <v>2710</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42"/>
      <c r="Y38" s="742"/>
      <c r="Z38" s="742"/>
      <c r="AA38" s="742"/>
      <c r="AB38" s="742"/>
      <c r="AC38" s="742"/>
    </row>
    <row r="39" spans="1:29" ht="15.75" thickBot="1">
      <c r="A39" s="483" t="s">
        <v>2711</v>
      </c>
      <c r="B39" s="484"/>
      <c r="C39" s="1400" t="e">
        <f>R39</f>
        <v>#DIV/0!</v>
      </c>
      <c r="D39" s="1400"/>
      <c r="E39" s="1400"/>
      <c r="F39" s="1400"/>
      <c r="G39" s="1400"/>
      <c r="H39" s="1400"/>
      <c r="I39" s="1400"/>
      <c r="J39" s="1400"/>
      <c r="K39" s="610"/>
      <c r="L39" s="1126"/>
      <c r="M39" s="1127"/>
      <c r="N39" s="1127"/>
      <c r="O39" s="1127"/>
      <c r="P39" s="3203" t="str">
        <f>A39</f>
        <v>估价对象XX用房的比较价值（楼面单价，元/平方米）</v>
      </c>
      <c r="Q39" s="3204"/>
      <c r="R39" s="3205" t="e">
        <f>IF(F1="售价",ROUND(AVERAGE(R38:V38),0),ROUND(AVERAGE(R38:V38),1))</f>
        <v>#DIV/0!</v>
      </c>
      <c r="S39" s="3205"/>
      <c r="T39" s="3205"/>
      <c r="U39" s="3205"/>
      <c r="V39" s="3205"/>
      <c r="W39" s="3205"/>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2712</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2713</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2714</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1.75" thickBot="1">
      <c r="A47" s="1407" t="s">
        <v>2715</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5">
      <c r="A48" s="496" t="s">
        <v>2716</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ht="15">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75" thickBot="1">
      <c r="A50" s="506" t="s">
        <v>2573</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5">
      <c r="A51" s="512" t="s">
        <v>2538</v>
      </c>
      <c r="B51" s="501"/>
      <c r="C51" s="513" t="s">
        <v>2640</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5.75"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c r="A53" s="518" t="s">
        <v>2576</v>
      </c>
      <c r="B53" s="519" t="s">
        <v>2542</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5.75"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7.75" thickTop="1">
      <c r="A55" s="525"/>
      <c r="B55" s="529" t="s">
        <v>2545</v>
      </c>
      <c r="C55" s="530" t="s">
        <v>2577</v>
      </c>
      <c r="D55" s="530" t="s">
        <v>2578</v>
      </c>
      <c r="E55" s="530" t="s">
        <v>2579</v>
      </c>
      <c r="F55" s="530" t="s">
        <v>2580</v>
      </c>
      <c r="G55" s="530" t="s">
        <v>2581</v>
      </c>
      <c r="H55" s="530" t="s">
        <v>2582</v>
      </c>
      <c r="I55" s="530" t="s">
        <v>2583</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5.75"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5.75"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5.75"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5.75"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5.75"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5.75"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2547</v>
      </c>
      <c r="B63" s="519" t="s">
        <v>2590</v>
      </c>
      <c r="C63" s="564" t="s">
        <v>2585</v>
      </c>
      <c r="D63" s="564" t="s">
        <v>2586</v>
      </c>
      <c r="E63" s="564" t="s">
        <v>2587</v>
      </c>
      <c r="F63" s="564" t="s">
        <v>2588</v>
      </c>
      <c r="G63" s="564" t="s">
        <v>2589</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75" thickTop="1">
      <c r="A65" s="525"/>
      <c r="B65" s="529" t="s">
        <v>2591</v>
      </c>
      <c r="C65" s="569" t="s">
        <v>2585</v>
      </c>
      <c r="D65" s="569" t="s">
        <v>2586</v>
      </c>
      <c r="E65" s="569" t="s">
        <v>2587</v>
      </c>
      <c r="F65" s="569" t="s">
        <v>2588</v>
      </c>
      <c r="G65" s="569" t="s">
        <v>2589</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75" thickTop="1">
      <c r="A67" s="525"/>
      <c r="B67" s="537" t="s">
        <v>2677</v>
      </c>
      <c r="C67" s="649" t="s">
        <v>2663</v>
      </c>
      <c r="D67" s="649" t="s">
        <v>2664</v>
      </c>
      <c r="E67" s="649" t="s">
        <v>2665</v>
      </c>
      <c r="F67" s="649" t="s">
        <v>2666</v>
      </c>
      <c r="G67" s="649" t="s">
        <v>2667</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5.75"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75" thickTop="1">
      <c r="A69" s="525"/>
      <c r="B69" s="529" t="s">
        <v>2597</v>
      </c>
      <c r="C69" s="569" t="s">
        <v>2585</v>
      </c>
      <c r="D69" s="569" t="s">
        <v>2586</v>
      </c>
      <c r="E69" s="569" t="s">
        <v>2587</v>
      </c>
      <c r="F69" s="569" t="s">
        <v>2588</v>
      </c>
      <c r="G69" s="569" t="s">
        <v>2589</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75" thickTop="1">
      <c r="A71" s="525"/>
      <c r="B71" s="529" t="s">
        <v>2717</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5.75"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5.75"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5.75"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5.75"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5.75"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5.75"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7.75" thickTop="1">
      <c r="A79" s="518" t="s">
        <v>2551</v>
      </c>
      <c r="B79" s="519" t="s">
        <v>2718</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75" thickTop="1">
      <c r="A81" s="525"/>
      <c r="B81" s="529" t="s">
        <v>2719</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5.75"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2604</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2720</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2721</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2722</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5.75"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2723</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2724</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5"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5.75"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5"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5.75"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5"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5.75"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2695</v>
      </c>
      <c r="B1" s="1602"/>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IF(C2="——",ROUND(C37*D3/10000,0),ROUND(C37*D3/10000,0)-D2)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IF(C2="——",C37,ROUND(B2*10000/D3,0))</f>
        <v>#DIV/0!</v>
      </c>
      <c r="C3" s="391" t="s">
        <v>2632</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ht="15">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7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75" thickBot="1">
      <c r="A7" s="399" t="s">
        <v>2536</v>
      </c>
      <c r="B7" s="400"/>
      <c r="C7" s="401">
        <f>'数据-取费表'!B2</f>
        <v>43886</v>
      </c>
      <c r="D7" s="402">
        <v>100</v>
      </c>
      <c r="E7" s="403"/>
      <c r="F7" s="404">
        <f>SUMIF(46:46,YEAR(E7)&amp;"-"&amp;MONTH(E7),47:47)</f>
        <v>0</v>
      </c>
      <c r="G7" s="2679"/>
      <c r="H7" s="402">
        <f>SUMIF(46:46,YEAR(G7)&amp;"-"&amp;MONTH(G7),47:47)</f>
        <v>0</v>
      </c>
      <c r="I7" s="403"/>
      <c r="J7" s="402">
        <f>SUMIF(46:46,YEAR(I7)&amp;"-"&amp;MONTH(I7),47:47)</f>
        <v>0</v>
      </c>
      <c r="K7" s="602"/>
      <c r="L7" s="1115"/>
      <c r="M7" s="1116"/>
      <c r="N7" s="1116"/>
      <c r="O7" s="1116"/>
      <c r="P7" s="3216" t="s">
        <v>2537</v>
      </c>
      <c r="Q7" s="3228"/>
      <c r="R7" s="753" t="s">
        <v>17</v>
      </c>
      <c r="S7" s="754">
        <f t="shared" ref="S7:S14" si="0">F7</f>
        <v>0</v>
      </c>
      <c r="T7" s="753" t="s">
        <v>17</v>
      </c>
      <c r="U7" s="754">
        <f t="shared" ref="U7:U14" si="1">H7</f>
        <v>0</v>
      </c>
      <c r="V7" s="753" t="s">
        <v>17</v>
      </c>
      <c r="W7" s="754">
        <f t="shared" ref="W7:W14" si="2">J7</f>
        <v>0</v>
      </c>
      <c r="X7" s="755"/>
      <c r="Y7" s="3216" t="s">
        <v>2537</v>
      </c>
      <c r="Z7" s="3217"/>
      <c r="AA7" s="756" t="e">
        <f>D7/F7</f>
        <v>#DIV/0!</v>
      </c>
      <c r="AB7" s="756" t="e">
        <f>D7/H7</f>
        <v>#DIV/0!</v>
      </c>
      <c r="AC7" s="756" t="e">
        <f>D7/J7</f>
        <v>#DIV/0!</v>
      </c>
    </row>
    <row r="8" spans="1:29" s="113" customFormat="1" ht="15.75" thickBot="1">
      <c r="A8" s="399" t="s">
        <v>2538</v>
      </c>
      <c r="B8" s="400"/>
      <c r="C8" s="405" t="s">
        <v>2640</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34" si="3">D8/F8</f>
        <v>#DIV/0!</v>
      </c>
      <c r="AB8" s="756" t="e">
        <f t="shared" ref="AB8:AB34" si="4">D8/H8</f>
        <v>#DIV/0!</v>
      </c>
      <c r="AC8" s="756" t="e">
        <f t="shared" ref="AC8:AC34" si="5">D8/J8</f>
        <v>#DIV/0!</v>
      </c>
    </row>
    <row r="9" spans="1:29" s="113" customFormat="1">
      <c r="A9" s="406" t="s">
        <v>2541</v>
      </c>
      <c r="B9" s="70" t="s">
        <v>2542</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201" t="s">
        <v>2543</v>
      </c>
      <c r="Q9" s="1778" t="str">
        <f t="shared" ref="Q9:Q14" si="6">B9</f>
        <v>用途</v>
      </c>
      <c r="R9" s="753" t="s">
        <v>17</v>
      </c>
      <c r="S9" s="754">
        <f t="shared" si="0"/>
        <v>100</v>
      </c>
      <c r="T9" s="753" t="s">
        <v>17</v>
      </c>
      <c r="U9" s="754">
        <f t="shared" si="1"/>
        <v>100</v>
      </c>
      <c r="V9" s="753" t="s">
        <v>17</v>
      </c>
      <c r="W9" s="754">
        <f t="shared" si="2"/>
        <v>100</v>
      </c>
      <c r="X9" s="755"/>
      <c r="Y9" s="3073" t="s">
        <v>2544</v>
      </c>
      <c r="Z9" s="55" t="str">
        <f t="shared" ref="Z9:Z14" si="7">Q9</f>
        <v>用途</v>
      </c>
      <c r="AA9" s="756">
        <f t="shared" si="3"/>
        <v>1</v>
      </c>
      <c r="AB9" s="756">
        <f t="shared" si="4"/>
        <v>1</v>
      </c>
      <c r="AC9" s="756">
        <f t="shared" si="5"/>
        <v>1</v>
      </c>
    </row>
    <row r="10" spans="1:29" s="418" customFormat="1" ht="27">
      <c r="A10" s="412"/>
      <c r="B10" s="413" t="s">
        <v>2545</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201"/>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2583">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201"/>
      <c r="Q11" s="1778">
        <f t="shared" si="6"/>
        <v>111</v>
      </c>
      <c r="R11" s="753" t="s">
        <v>17</v>
      </c>
      <c r="S11" s="754">
        <f t="shared" si="0"/>
        <v>100</v>
      </c>
      <c r="T11" s="753" t="s">
        <v>17</v>
      </c>
      <c r="U11" s="754">
        <f t="shared" si="1"/>
        <v>100</v>
      </c>
      <c r="V11" s="753" t="s">
        <v>17</v>
      </c>
      <c r="W11" s="754">
        <f t="shared" si="2"/>
        <v>100</v>
      </c>
      <c r="X11" s="755"/>
      <c r="Y11" s="3073"/>
      <c r="Z11" s="55">
        <f t="shared" si="7"/>
        <v>111</v>
      </c>
      <c r="AA11" s="756">
        <f t="shared" si="3"/>
        <v>1</v>
      </c>
      <c r="AB11" s="756">
        <f t="shared" si="4"/>
        <v>1</v>
      </c>
      <c r="AC11" s="756">
        <f t="shared" si="5"/>
        <v>1</v>
      </c>
    </row>
    <row r="12" spans="1:29" s="113" customFormat="1" ht="15">
      <c r="A12" s="422"/>
      <c r="B12" s="2583">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75" thickBot="1">
      <c r="A13" s="419"/>
      <c r="B13" s="2583">
        <v>111</v>
      </c>
      <c r="C13" s="425"/>
      <c r="D13" s="426">
        <v>100</v>
      </c>
      <c r="E13" s="460"/>
      <c r="F13" s="416">
        <f>SUMIF(59:59,E13,60:60)-SUMIF(59:59,C13,60:60)+100</f>
        <v>100</v>
      </c>
      <c r="G13" s="2680"/>
      <c r="H13" s="429">
        <f>SUMIF(59:59,G13,60:60)-SUMIF(59:59,C13,60:60)+100</f>
        <v>100</v>
      </c>
      <c r="I13" s="460"/>
      <c r="J13" s="426">
        <f>SUMIF(59:59,I13,60:60)-SUMIF(59:59,C13,60:60)+100</f>
        <v>100</v>
      </c>
      <c r="K13" s="604"/>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
      <c r="A14" s="431" t="s">
        <v>2547</v>
      </c>
      <c r="B14" s="68" t="s">
        <v>2697</v>
      </c>
      <c r="C14" s="2676">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208" t="s">
        <v>2548</v>
      </c>
      <c r="Q14" s="1793" t="str">
        <f t="shared" si="6"/>
        <v>交通便捷度</v>
      </c>
      <c r="R14" s="757" t="s">
        <v>17</v>
      </c>
      <c r="S14" s="758">
        <f t="shared" si="0"/>
        <v>100</v>
      </c>
      <c r="T14" s="757" t="s">
        <v>17</v>
      </c>
      <c r="U14" s="758">
        <f t="shared" si="1"/>
        <v>100</v>
      </c>
      <c r="V14" s="757" t="s">
        <v>17</v>
      </c>
      <c r="W14" s="758">
        <f t="shared" si="2"/>
        <v>100</v>
      </c>
      <c r="X14" s="1796"/>
      <c r="Y14" s="3208" t="s">
        <v>2548</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209"/>
      <c r="Q15" s="1793"/>
      <c r="R15" s="757"/>
      <c r="S15" s="758"/>
      <c r="T15" s="757"/>
      <c r="U15" s="758"/>
      <c r="V15" s="757"/>
      <c r="W15" s="758"/>
      <c r="X15" s="1796"/>
      <c r="Y15" s="3209"/>
      <c r="Z15" s="1797"/>
      <c r="AA15" s="1794">
        <v>1</v>
      </c>
      <c r="AB15" s="1794">
        <v>1</v>
      </c>
      <c r="AC15" s="1794">
        <v>1</v>
      </c>
    </row>
    <row r="16" spans="1:29" ht="15">
      <c r="A16" s="419"/>
      <c r="B16" s="442" t="s">
        <v>2676</v>
      </c>
      <c r="C16" s="2590">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209"/>
      <c r="Q16" s="1793" t="str">
        <f>B16</f>
        <v>公共配套设施</v>
      </c>
      <c r="R16" s="757" t="s">
        <v>17</v>
      </c>
      <c r="S16" s="758">
        <f>F16</f>
        <v>100</v>
      </c>
      <c r="T16" s="757" t="s">
        <v>17</v>
      </c>
      <c r="U16" s="758">
        <f>H16</f>
        <v>100</v>
      </c>
      <c r="V16" s="757" t="s">
        <v>17</v>
      </c>
      <c r="W16" s="758">
        <f>J16</f>
        <v>100</v>
      </c>
      <c r="X16" s="1796"/>
      <c r="Y16" s="3209"/>
      <c r="Z16" s="1797" t="str">
        <f>Q16</f>
        <v>公共配套设施</v>
      </c>
      <c r="AA16" s="1794">
        <f t="shared" si="3"/>
        <v>1</v>
      </c>
      <c r="AB16" s="1794">
        <f t="shared" si="4"/>
        <v>1</v>
      </c>
      <c r="AC16" s="1794">
        <f t="shared" si="5"/>
        <v>1</v>
      </c>
    </row>
    <row r="17" spans="1:29" ht="15">
      <c r="A17" s="419"/>
      <c r="B17" s="447"/>
      <c r="C17" s="2591"/>
      <c r="D17" s="439"/>
      <c r="E17" s="438"/>
      <c r="F17" s="440"/>
      <c r="G17" s="438"/>
      <c r="H17" s="439"/>
      <c r="I17" s="438"/>
      <c r="J17" s="439"/>
      <c r="K17" s="606"/>
      <c r="L17" s="1123"/>
      <c r="M17" s="1114"/>
      <c r="N17" s="1114"/>
      <c r="O17" s="1122"/>
      <c r="P17" s="3209"/>
      <c r="Q17" s="1793"/>
      <c r="R17" s="757"/>
      <c r="S17" s="758"/>
      <c r="T17" s="757"/>
      <c r="U17" s="758"/>
      <c r="V17" s="757"/>
      <c r="W17" s="758"/>
      <c r="X17" s="1796"/>
      <c r="Y17" s="3209"/>
      <c r="Z17" s="1797"/>
      <c r="AA17" s="1794">
        <v>1</v>
      </c>
      <c r="AB17" s="1794">
        <v>1</v>
      </c>
      <c r="AC17" s="1794">
        <v>1</v>
      </c>
    </row>
    <row r="18" spans="1:29" ht="15">
      <c r="A18" s="419"/>
      <c r="B18" s="1367" t="s">
        <v>2677</v>
      </c>
      <c r="C18" s="2590">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209"/>
      <c r="Q18" s="1793" t="str">
        <f>B18</f>
        <v>基础设施水平</v>
      </c>
      <c r="R18" s="757" t="s">
        <v>17</v>
      </c>
      <c r="S18" s="758">
        <f>F18</f>
        <v>100</v>
      </c>
      <c r="T18" s="757" t="s">
        <v>17</v>
      </c>
      <c r="U18" s="758">
        <f>H18</f>
        <v>100</v>
      </c>
      <c r="V18" s="757" t="s">
        <v>17</v>
      </c>
      <c r="W18" s="758">
        <f>J18</f>
        <v>100</v>
      </c>
      <c r="X18" s="1796"/>
      <c r="Y18" s="3209"/>
      <c r="Z18" s="1797" t="str">
        <f>Q18</f>
        <v>基础设施水平</v>
      </c>
      <c r="AA18" s="1794">
        <f t="shared" ref="AA18" si="8">D18/F18</f>
        <v>1</v>
      </c>
      <c r="AB18" s="1794">
        <f t="shared" ref="AB18" si="9">D18/H18</f>
        <v>1</v>
      </c>
      <c r="AC18" s="1794">
        <f t="shared" ref="AC18" si="10">D18/J18</f>
        <v>1</v>
      </c>
    </row>
    <row r="19" spans="1:29" ht="15">
      <c r="A19" s="419"/>
      <c r="B19" s="1367"/>
      <c r="C19" s="2591"/>
      <c r="D19" s="441"/>
      <c r="E19" s="2591"/>
      <c r="F19" s="444"/>
      <c r="G19" s="2591"/>
      <c r="H19" s="439"/>
      <c r="I19" s="438"/>
      <c r="J19" s="439"/>
      <c r="K19" s="1366"/>
      <c r="L19" s="1123"/>
      <c r="M19" s="1114"/>
      <c r="N19" s="1114"/>
      <c r="O19" s="1122"/>
      <c r="P19" s="3209"/>
      <c r="Q19" s="1793"/>
      <c r="R19" s="757"/>
      <c r="S19" s="758"/>
      <c r="T19" s="757"/>
      <c r="U19" s="758"/>
      <c r="V19" s="757"/>
      <c r="W19" s="758"/>
      <c r="X19" s="1796"/>
      <c r="Y19" s="3209"/>
      <c r="Z19" s="1797"/>
      <c r="AA19" s="1794">
        <v>1</v>
      </c>
      <c r="AB19" s="1794">
        <v>1</v>
      </c>
      <c r="AC19" s="1794">
        <v>1</v>
      </c>
    </row>
    <row r="20" spans="1:29" ht="15">
      <c r="A20" s="419"/>
      <c r="B20" s="442" t="s">
        <v>2698</v>
      </c>
      <c r="C20" s="2590">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209"/>
      <c r="Q20" s="1793" t="str">
        <f>B20</f>
        <v>自然及人文环境</v>
      </c>
      <c r="R20" s="757" t="s">
        <v>17</v>
      </c>
      <c r="S20" s="758">
        <f>F20</f>
        <v>100</v>
      </c>
      <c r="T20" s="757" t="s">
        <v>17</v>
      </c>
      <c r="U20" s="758">
        <f>H20</f>
        <v>100</v>
      </c>
      <c r="V20" s="757" t="s">
        <v>17</v>
      </c>
      <c r="W20" s="758">
        <f>J20</f>
        <v>100</v>
      </c>
      <c r="X20" s="1796"/>
      <c r="Y20" s="3209"/>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209"/>
      <c r="Q21" s="1793"/>
      <c r="R21" s="757"/>
      <c r="S21" s="758"/>
      <c r="T21" s="757"/>
      <c r="U21" s="758"/>
      <c r="V21" s="757"/>
      <c r="W21" s="758"/>
      <c r="X21" s="1796"/>
      <c r="Y21" s="3209"/>
      <c r="Z21" s="1797"/>
      <c r="AA21" s="1794">
        <v>1</v>
      </c>
      <c r="AB21" s="1794">
        <v>1</v>
      </c>
      <c r="AC21" s="1794">
        <v>1</v>
      </c>
    </row>
    <row r="22" spans="1:29" ht="15">
      <c r="A22" s="419"/>
      <c r="B22" s="442" t="s">
        <v>2699</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209"/>
      <c r="Q22" s="1793" t="str">
        <f>B22</f>
        <v>楼层</v>
      </c>
      <c r="R22" s="757" t="s">
        <v>17</v>
      </c>
      <c r="S22" s="758">
        <f>F22</f>
        <v>100</v>
      </c>
      <c r="T22" s="757" t="s">
        <v>17</v>
      </c>
      <c r="U22" s="758">
        <f>H22</f>
        <v>100</v>
      </c>
      <c r="V22" s="757" t="s">
        <v>17</v>
      </c>
      <c r="W22" s="758">
        <f>J22</f>
        <v>100</v>
      </c>
      <c r="X22" s="1796"/>
      <c r="Y22" s="3209"/>
      <c r="Z22" s="1797" t="str">
        <f>Q22</f>
        <v>楼层</v>
      </c>
      <c r="AA22" s="1794">
        <f t="shared" si="3"/>
        <v>1</v>
      </c>
      <c r="AB22" s="1794">
        <f t="shared" si="4"/>
        <v>1</v>
      </c>
      <c r="AC22" s="1794">
        <f t="shared" si="5"/>
        <v>1</v>
      </c>
    </row>
    <row r="23" spans="1:29" ht="15">
      <c r="A23" s="395"/>
      <c r="B23" s="2583">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209"/>
      <c r="Q23" s="1793">
        <f>B23</f>
        <v>111</v>
      </c>
      <c r="R23" s="757" t="s">
        <v>17</v>
      </c>
      <c r="S23" s="758">
        <f>F23</f>
        <v>100</v>
      </c>
      <c r="T23" s="757" t="s">
        <v>17</v>
      </c>
      <c r="U23" s="758">
        <f>H23</f>
        <v>100</v>
      </c>
      <c r="V23" s="757" t="s">
        <v>17</v>
      </c>
      <c r="W23" s="758">
        <f>J23</f>
        <v>100</v>
      </c>
      <c r="X23" s="1796"/>
      <c r="Y23" s="3209"/>
      <c r="Z23" s="1797">
        <f>Q23</f>
        <v>111</v>
      </c>
      <c r="AA23" s="1794">
        <f t="shared" si="3"/>
        <v>1</v>
      </c>
      <c r="AB23" s="1794">
        <f t="shared" si="4"/>
        <v>1</v>
      </c>
      <c r="AC23" s="1794">
        <f t="shared" si="5"/>
        <v>1</v>
      </c>
    </row>
    <row r="24" spans="1:29" ht="15">
      <c r="A24" s="419"/>
      <c r="B24" s="2583">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209"/>
      <c r="Q24" s="1793">
        <f t="shared" ref="Q24:Q34" si="11">B24</f>
        <v>111</v>
      </c>
      <c r="R24" s="757" t="s">
        <v>17</v>
      </c>
      <c r="S24" s="758">
        <f>F24</f>
        <v>100</v>
      </c>
      <c r="T24" s="757" t="s">
        <v>17</v>
      </c>
      <c r="U24" s="758">
        <f>H24</f>
        <v>100</v>
      </c>
      <c r="V24" s="757" t="s">
        <v>17</v>
      </c>
      <c r="W24" s="758">
        <f>J24</f>
        <v>100</v>
      </c>
      <c r="X24" s="1796"/>
      <c r="Y24" s="3209"/>
      <c r="Z24" s="1797">
        <f>Q24</f>
        <v>111</v>
      </c>
      <c r="AA24" s="1794">
        <f t="shared" si="3"/>
        <v>1</v>
      </c>
      <c r="AB24" s="1794">
        <f t="shared" si="4"/>
        <v>1</v>
      </c>
      <c r="AC24" s="1794">
        <f t="shared" si="5"/>
        <v>1</v>
      </c>
    </row>
    <row r="25" spans="1:29" s="113" customFormat="1" ht="15.75" thickBot="1">
      <c r="A25" s="422"/>
      <c r="B25" s="2583">
        <v>111</v>
      </c>
      <c r="C25" s="2681"/>
      <c r="D25" s="654">
        <v>100</v>
      </c>
      <c r="E25" s="2681"/>
      <c r="F25" s="655">
        <f>SUMIF(75:75,E25,76:76)-SUMIF(75:75,C25,76:76)+100</f>
        <v>100</v>
      </c>
      <c r="G25" s="2681"/>
      <c r="H25" s="654">
        <f>SUMIF(75:75,G25,76:76)-SUMIF(75:75,C25,76:76)+100</f>
        <v>100</v>
      </c>
      <c r="I25" s="2681"/>
      <c r="J25" s="654">
        <f>SUMIF(75:75,I25,76:76)-SUMIF(75:75,C25,76:76)+100</f>
        <v>100</v>
      </c>
      <c r="K25" s="604"/>
      <c r="L25" s="1115"/>
      <c r="M25" s="1116"/>
      <c r="N25" s="1116"/>
      <c r="O25" s="1117"/>
      <c r="P25" s="3209"/>
      <c r="Q25" s="1778">
        <f t="shared" si="11"/>
        <v>111</v>
      </c>
      <c r="R25" s="753" t="s">
        <v>17</v>
      </c>
      <c r="S25" s="754">
        <f>F25</f>
        <v>100</v>
      </c>
      <c r="T25" s="753" t="s">
        <v>17</v>
      </c>
      <c r="U25" s="754">
        <f>H25</f>
        <v>100</v>
      </c>
      <c r="V25" s="753" t="s">
        <v>17</v>
      </c>
      <c r="W25" s="754">
        <f>J25</f>
        <v>100</v>
      </c>
      <c r="X25" s="755"/>
      <c r="Y25" s="3209"/>
      <c r="Z25" s="55">
        <f>Q25</f>
        <v>111</v>
      </c>
      <c r="AA25" s="1794">
        <f>D25/F25</f>
        <v>1</v>
      </c>
      <c r="AB25" s="1794">
        <f>D25/H25</f>
        <v>1</v>
      </c>
      <c r="AC25" s="1794">
        <f>D25/J25</f>
        <v>1</v>
      </c>
    </row>
    <row r="26" spans="1:29" ht="28.5">
      <c r="A26" s="457" t="s">
        <v>2551</v>
      </c>
      <c r="B26" s="70" t="s">
        <v>2702</v>
      </c>
      <c r="C26" s="2662"/>
      <c r="D26" s="458">
        <v>100</v>
      </c>
      <c r="E26" s="2662"/>
      <c r="F26" s="656">
        <f>SUMIF(77:77,E26,78:78)-SUMIF(77:77,C26,78:78)+100</f>
        <v>100</v>
      </c>
      <c r="G26" s="2662"/>
      <c r="H26" s="458">
        <f>SUMIF(77:77,G26,78:78)-SUMIF(77:77,C26,78:78)+100</f>
        <v>100</v>
      </c>
      <c r="I26" s="2662"/>
      <c r="J26" s="458">
        <f>SUMIF(77:77,I26,78:78)-SUMIF(77:77,C26,78:78)+100</f>
        <v>100</v>
      </c>
      <c r="K26" s="603"/>
      <c r="L26" s="1123"/>
      <c r="M26" s="1114"/>
      <c r="N26" s="1114"/>
      <c r="O26" s="1122"/>
      <c r="P26" s="3288" t="s">
        <v>2553</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213" t="s">
        <v>2553</v>
      </c>
      <c r="Z26" s="1797" t="str">
        <f t="shared" ref="Z26:Z34" si="15">Q26</f>
        <v>公共部分装修</v>
      </c>
      <c r="AA26" s="1794">
        <f t="shared" si="3"/>
        <v>1</v>
      </c>
      <c r="AB26" s="1794">
        <f t="shared" si="4"/>
        <v>1</v>
      </c>
      <c r="AC26" s="1794">
        <f t="shared" si="5"/>
        <v>1</v>
      </c>
    </row>
    <row r="27" spans="1:29" s="462" customFormat="1" ht="15">
      <c r="A27" s="459"/>
      <c r="B27" s="413" t="s">
        <v>2703</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213"/>
      <c r="Q27" s="759" t="str">
        <f t="shared" si="11"/>
        <v>成新率</v>
      </c>
      <c r="R27" s="760" t="s">
        <v>17</v>
      </c>
      <c r="S27" s="761" t="e">
        <f t="shared" si="12"/>
        <v>#N/A</v>
      </c>
      <c r="T27" s="760" t="s">
        <v>17</v>
      </c>
      <c r="U27" s="761" t="e">
        <f t="shared" si="13"/>
        <v>#N/A</v>
      </c>
      <c r="V27" s="760" t="s">
        <v>17</v>
      </c>
      <c r="W27" s="761" t="e">
        <f t="shared" si="14"/>
        <v>#N/A</v>
      </c>
      <c r="X27" s="762"/>
      <c r="Y27" s="3213"/>
      <c r="Z27" s="763" t="str">
        <f t="shared" si="15"/>
        <v>成新率</v>
      </c>
      <c r="AA27" s="1794" t="e">
        <f t="shared" si="3"/>
        <v>#N/A</v>
      </c>
      <c r="AB27" s="1794" t="e">
        <f t="shared" si="4"/>
        <v>#N/A</v>
      </c>
      <c r="AC27" s="1794" t="e">
        <f t="shared" si="5"/>
        <v>#N/A</v>
      </c>
    </row>
    <row r="28" spans="1:29" ht="15">
      <c r="A28" s="463"/>
      <c r="B28" s="413" t="s">
        <v>2704</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213"/>
      <c r="Q28" s="1793" t="str">
        <f t="shared" si="11"/>
        <v>物业等级</v>
      </c>
      <c r="R28" s="757" t="s">
        <v>17</v>
      </c>
      <c r="S28" s="758">
        <f t="shared" si="12"/>
        <v>100</v>
      </c>
      <c r="T28" s="757" t="s">
        <v>17</v>
      </c>
      <c r="U28" s="758">
        <f t="shared" si="13"/>
        <v>100</v>
      </c>
      <c r="V28" s="757" t="s">
        <v>17</v>
      </c>
      <c r="W28" s="758">
        <f t="shared" si="14"/>
        <v>100</v>
      </c>
      <c r="X28" s="1796"/>
      <c r="Y28" s="3213"/>
      <c r="Z28" s="1797" t="str">
        <f t="shared" si="15"/>
        <v>物业等级</v>
      </c>
      <c r="AA28" s="1794">
        <f t="shared" si="3"/>
        <v>1</v>
      </c>
      <c r="AB28" s="1794">
        <f t="shared" si="4"/>
        <v>1</v>
      </c>
      <c r="AC28" s="1794">
        <f t="shared" si="5"/>
        <v>1</v>
      </c>
    </row>
    <row r="29" spans="1:29" ht="15">
      <c r="A29" s="463"/>
      <c r="B29" s="413" t="s">
        <v>2725</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213"/>
      <c r="Q29" s="1793" t="str">
        <f t="shared" si="11"/>
        <v>有无电梯</v>
      </c>
      <c r="R29" s="757" t="s">
        <v>17</v>
      </c>
      <c r="S29" s="758">
        <f t="shared" si="12"/>
        <v>100</v>
      </c>
      <c r="T29" s="757" t="s">
        <v>17</v>
      </c>
      <c r="U29" s="758">
        <f t="shared" si="13"/>
        <v>100</v>
      </c>
      <c r="V29" s="757" t="s">
        <v>17</v>
      </c>
      <c r="W29" s="758">
        <f t="shared" si="14"/>
        <v>100</v>
      </c>
      <c r="X29" s="1796"/>
      <c r="Y29" s="3213"/>
      <c r="Z29" s="1797" t="str">
        <f t="shared" si="15"/>
        <v>有无电梯</v>
      </c>
      <c r="AA29" s="1794">
        <f t="shared" si="3"/>
        <v>1</v>
      </c>
      <c r="AB29" s="1794">
        <f t="shared" si="4"/>
        <v>1</v>
      </c>
      <c r="AC29" s="1794">
        <f t="shared" si="5"/>
        <v>1</v>
      </c>
    </row>
    <row r="30" spans="1:29" ht="15">
      <c r="A30" s="463"/>
      <c r="B30" s="413" t="s">
        <v>2726</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213"/>
      <c r="Q30" s="1793" t="str">
        <f t="shared" si="11"/>
        <v>建筑面积</v>
      </c>
      <c r="R30" s="757" t="s">
        <v>17</v>
      </c>
      <c r="S30" s="758" t="e">
        <f t="shared" si="12"/>
        <v>#N/A</v>
      </c>
      <c r="T30" s="757" t="s">
        <v>17</v>
      </c>
      <c r="U30" s="758" t="e">
        <f t="shared" si="13"/>
        <v>#N/A</v>
      </c>
      <c r="V30" s="757" t="s">
        <v>17</v>
      </c>
      <c r="W30" s="758" t="e">
        <f t="shared" si="14"/>
        <v>#N/A</v>
      </c>
      <c r="X30" s="1796"/>
      <c r="Y30" s="3213"/>
      <c r="Z30" s="1797" t="str">
        <f t="shared" si="15"/>
        <v>建筑面积</v>
      </c>
      <c r="AA30" s="1794" t="e">
        <f t="shared" si="3"/>
        <v>#N/A</v>
      </c>
      <c r="AB30" s="1794" t="e">
        <f t="shared" si="4"/>
        <v>#N/A</v>
      </c>
      <c r="AC30" s="1794" t="e">
        <f t="shared" si="5"/>
        <v>#N/A</v>
      </c>
    </row>
    <row r="31" spans="1:29" s="113" customFormat="1" ht="15">
      <c r="A31" s="464"/>
      <c r="B31" s="413" t="s">
        <v>2727</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213"/>
      <c r="Q31" s="1778" t="str">
        <f t="shared" si="11"/>
        <v>是否封闭</v>
      </c>
      <c r="R31" s="753" t="s">
        <v>17</v>
      </c>
      <c r="S31" s="754">
        <f t="shared" si="12"/>
        <v>100</v>
      </c>
      <c r="T31" s="753" t="s">
        <v>17</v>
      </c>
      <c r="U31" s="754">
        <f t="shared" si="13"/>
        <v>100</v>
      </c>
      <c r="V31" s="753" t="s">
        <v>17</v>
      </c>
      <c r="W31" s="754">
        <f t="shared" si="14"/>
        <v>100</v>
      </c>
      <c r="X31" s="755"/>
      <c r="Y31" s="3213"/>
      <c r="Z31" s="55" t="str">
        <f t="shared" si="15"/>
        <v>是否封闭</v>
      </c>
      <c r="AA31" s="756">
        <f t="shared" si="3"/>
        <v>1</v>
      </c>
      <c r="AB31" s="756">
        <f t="shared" si="4"/>
        <v>1</v>
      </c>
      <c r="AC31" s="756">
        <f t="shared" si="5"/>
        <v>1</v>
      </c>
    </row>
    <row r="32" spans="1:29" ht="15">
      <c r="A32" s="463"/>
      <c r="B32" s="2583">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213" t="s">
        <v>2553</v>
      </c>
      <c r="Q32" s="1793">
        <f t="shared" si="11"/>
        <v>111</v>
      </c>
      <c r="R32" s="757" t="s">
        <v>17</v>
      </c>
      <c r="S32" s="758">
        <f t="shared" si="12"/>
        <v>100</v>
      </c>
      <c r="T32" s="757" t="s">
        <v>17</v>
      </c>
      <c r="U32" s="758">
        <f t="shared" si="13"/>
        <v>100</v>
      </c>
      <c r="V32" s="757" t="s">
        <v>17</v>
      </c>
      <c r="W32" s="758">
        <f t="shared" si="14"/>
        <v>100</v>
      </c>
      <c r="X32" s="1796"/>
      <c r="Y32" s="3213" t="s">
        <v>2553</v>
      </c>
      <c r="Z32" s="1797">
        <f t="shared" si="15"/>
        <v>111</v>
      </c>
      <c r="AA32" s="1794">
        <f t="shared" si="3"/>
        <v>1</v>
      </c>
      <c r="AB32" s="1794">
        <f t="shared" si="4"/>
        <v>1</v>
      </c>
      <c r="AC32" s="1794">
        <f t="shared" si="5"/>
        <v>1</v>
      </c>
    </row>
    <row r="33" spans="1:29" ht="15">
      <c r="A33" s="463"/>
      <c r="B33" s="2583">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213"/>
      <c r="Q33" s="1793">
        <f t="shared" si="11"/>
        <v>111</v>
      </c>
      <c r="R33" s="757" t="s">
        <v>17</v>
      </c>
      <c r="S33" s="758">
        <f t="shared" si="12"/>
        <v>100</v>
      </c>
      <c r="T33" s="757" t="s">
        <v>17</v>
      </c>
      <c r="U33" s="758">
        <f t="shared" si="13"/>
        <v>100</v>
      </c>
      <c r="V33" s="757" t="s">
        <v>17</v>
      </c>
      <c r="W33" s="758">
        <f t="shared" si="14"/>
        <v>100</v>
      </c>
      <c r="X33" s="1796"/>
      <c r="Y33" s="3213"/>
      <c r="Z33" s="1797">
        <f t="shared" si="15"/>
        <v>111</v>
      </c>
      <c r="AA33" s="1794">
        <f t="shared" si="3"/>
        <v>1</v>
      </c>
      <c r="AB33" s="1794">
        <f t="shared" si="4"/>
        <v>1</v>
      </c>
      <c r="AC33" s="1794">
        <f t="shared" si="5"/>
        <v>1</v>
      </c>
    </row>
    <row r="34" spans="1:29" ht="15.75" thickBot="1">
      <c r="A34" s="469"/>
      <c r="B34" s="2585">
        <v>111</v>
      </c>
      <c r="C34" s="428"/>
      <c r="D34" s="429">
        <v>100</v>
      </c>
      <c r="E34" s="2680"/>
      <c r="F34" s="430">
        <f>SUMIF(95:95,E34,96:96)-SUMIF(95:95,C34,96:96)+100</f>
        <v>100</v>
      </c>
      <c r="G34" s="2680"/>
      <c r="H34" s="429">
        <f>SUMIF(95:95,G34,96:96)-SUMIF(95:95,C34,96:96)+100</f>
        <v>100</v>
      </c>
      <c r="I34" s="2680"/>
      <c r="J34" s="429">
        <f>SUMIF(95:95,I34,96:96)-SUMIF(95:95,C34,96:96)+100</f>
        <v>100</v>
      </c>
      <c r="K34" s="604"/>
      <c r="L34" s="1123"/>
      <c r="M34" s="1114"/>
      <c r="N34" s="1114"/>
      <c r="O34" s="1122"/>
      <c r="P34" s="3213"/>
      <c r="Q34" s="1793">
        <f t="shared" si="11"/>
        <v>111</v>
      </c>
      <c r="R34" s="757" t="s">
        <v>17</v>
      </c>
      <c r="S34" s="758">
        <f t="shared" si="12"/>
        <v>100</v>
      </c>
      <c r="T34" s="757" t="s">
        <v>17</v>
      </c>
      <c r="U34" s="758">
        <f t="shared" si="13"/>
        <v>100</v>
      </c>
      <c r="V34" s="757" t="s">
        <v>17</v>
      </c>
      <c r="W34" s="758">
        <f t="shared" si="14"/>
        <v>100</v>
      </c>
      <c r="X34" s="1796"/>
      <c r="Y34" s="3213"/>
      <c r="Z34" s="1797">
        <f t="shared" si="15"/>
        <v>111</v>
      </c>
      <c r="AA34" s="1794">
        <f t="shared" si="3"/>
        <v>1</v>
      </c>
      <c r="AB34" s="1794">
        <f t="shared" si="4"/>
        <v>1</v>
      </c>
      <c r="AC34" s="1794">
        <f t="shared" si="5"/>
        <v>1</v>
      </c>
    </row>
    <row r="35" spans="1:29" ht="15">
      <c r="A35" s="470" t="s">
        <v>2565</v>
      </c>
      <c r="B35" s="471"/>
      <c r="C35" s="1390" t="s">
        <v>1</v>
      </c>
      <c r="D35" s="1391"/>
      <c r="E35" s="1392"/>
      <c r="F35" s="1393"/>
      <c r="G35" s="1394"/>
      <c r="H35" s="1395"/>
      <c r="I35" s="1392"/>
      <c r="J35" s="1395"/>
      <c r="K35" s="766"/>
      <c r="L35" s="1126"/>
      <c r="M35" s="1127"/>
      <c r="N35" s="1114"/>
      <c r="O35" s="1127"/>
      <c r="P35" s="3201" t="str">
        <f>A35</f>
        <v>成交单价（元/平方米）</v>
      </c>
      <c r="Q35" s="3201"/>
      <c r="R35" s="3202">
        <f>E35</f>
        <v>0</v>
      </c>
      <c r="S35" s="3202"/>
      <c r="T35" s="3202">
        <f>G35</f>
        <v>0</v>
      </c>
      <c r="U35" s="3202"/>
      <c r="V35" s="3202">
        <f>I35</f>
        <v>0</v>
      </c>
      <c r="W35" s="3202"/>
      <c r="X35" s="742"/>
      <c r="Y35" s="764"/>
      <c r="Z35" s="742"/>
      <c r="AA35" s="742"/>
      <c r="AB35" s="742"/>
      <c r="AC35" s="742"/>
    </row>
    <row r="36" spans="1:29" ht="15.75" thickBot="1">
      <c r="A36" s="477" t="s">
        <v>2657</v>
      </c>
      <c r="B36" s="478"/>
      <c r="C36" s="1396" t="e">
        <f>R37</f>
        <v>#DIV/0!</v>
      </c>
      <c r="D36" s="1397"/>
      <c r="E36" s="1398" t="e">
        <f>R36</f>
        <v>#DIV/0!</v>
      </c>
      <c r="F36" s="1398"/>
      <c r="G36" s="1396" t="e">
        <f>T36</f>
        <v>#DIV/0!</v>
      </c>
      <c r="H36" s="1397"/>
      <c r="I36" s="1398" t="e">
        <f>V36</f>
        <v>#DIV/0!</v>
      </c>
      <c r="J36" s="1397"/>
      <c r="K36" s="767"/>
      <c r="L36" s="1126"/>
      <c r="M36" s="1127"/>
      <c r="N36" s="1114"/>
      <c r="O36" s="112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42"/>
      <c r="Y36" s="742"/>
      <c r="Z36" s="742"/>
      <c r="AA36" s="742"/>
      <c r="AB36" s="742"/>
      <c r="AC36" s="742"/>
    </row>
    <row r="37" spans="1:29" ht="15.75" thickBot="1">
      <c r="A37" s="483" t="s">
        <v>2658</v>
      </c>
      <c r="B37" s="484"/>
      <c r="C37" s="1400" t="e">
        <f>R37</f>
        <v>#DIV/0!</v>
      </c>
      <c r="D37" s="1400"/>
      <c r="E37" s="1400"/>
      <c r="F37" s="1400"/>
      <c r="G37" s="1400"/>
      <c r="H37" s="1400"/>
      <c r="I37" s="1400"/>
      <c r="J37" s="1400"/>
      <c r="K37" s="768"/>
      <c r="L37" s="1126"/>
      <c r="M37" s="1127"/>
      <c r="N37" s="1127"/>
      <c r="O37" s="1127"/>
      <c r="P37" s="3203" t="str">
        <f>A37</f>
        <v>估价对象XX用房的比较价值（楼面单价，元/平方米）</v>
      </c>
      <c r="Q37" s="3204"/>
      <c r="R37" s="3205" t="e">
        <f>IF(F1="售价",ROUND(AVERAGE(R36:V36),0),ROUND(AVERAGE(R36:V36),1))</f>
        <v>#DIV/0!</v>
      </c>
      <c r="S37" s="3205"/>
      <c r="T37" s="3205"/>
      <c r="U37" s="3205"/>
      <c r="V37" s="3205"/>
      <c r="W37" s="3205"/>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2659</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2660</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2661</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1.75" thickBot="1">
      <c r="A45" s="746" t="s">
        <v>2662</v>
      </c>
      <c r="B45" s="742"/>
      <c r="C45" s="747"/>
      <c r="D45" s="747"/>
      <c r="E45" s="747"/>
      <c r="F45" s="748"/>
      <c r="G45" s="748"/>
      <c r="H45" s="747"/>
      <c r="I45" s="747"/>
      <c r="J45" s="747"/>
      <c r="K45" s="749"/>
      <c r="L45" s="750"/>
      <c r="M45" s="747"/>
      <c r="N45" s="747"/>
      <c r="O45" s="747"/>
      <c r="P45" s="494"/>
      <c r="Q45" s="495"/>
    </row>
    <row r="46" spans="1:29" s="499" customFormat="1" ht="15">
      <c r="A46" s="496" t="s">
        <v>2536</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ht="15">
      <c r="A47" s="500"/>
      <c r="B47" s="501"/>
      <c r="C47" s="1556">
        <v>100</v>
      </c>
      <c r="D47" s="503"/>
      <c r="E47" s="503"/>
      <c r="F47" s="503"/>
      <c r="G47" s="503"/>
      <c r="H47" s="503"/>
      <c r="I47" s="503"/>
      <c r="J47" s="503"/>
      <c r="K47" s="503"/>
      <c r="L47" s="503"/>
      <c r="M47" s="504"/>
      <c r="N47" s="503"/>
      <c r="O47" s="505"/>
      <c r="P47" s="495"/>
    </row>
    <row r="48" spans="1:29" s="113" customFormat="1" ht="15.75" thickBot="1">
      <c r="A48" s="506" t="s">
        <v>2573</v>
      </c>
      <c r="B48" s="507"/>
      <c r="C48" s="508"/>
      <c r="D48" s="509"/>
      <c r="E48" s="509"/>
      <c r="F48" s="509"/>
      <c r="G48" s="509"/>
      <c r="H48" s="509"/>
      <c r="I48" s="509"/>
      <c r="J48" s="509"/>
      <c r="K48" s="509"/>
      <c r="L48" s="509"/>
      <c r="M48" s="510"/>
      <c r="N48" s="509"/>
      <c r="O48" s="511"/>
      <c r="P48" s="495"/>
      <c r="Q48" s="495"/>
    </row>
    <row r="49" spans="1:17" s="113" customFormat="1" ht="15">
      <c r="A49" s="512" t="s">
        <v>2538</v>
      </c>
      <c r="B49" s="501"/>
      <c r="C49" s="513" t="s">
        <v>2640</v>
      </c>
      <c r="D49" s="514"/>
      <c r="E49" s="514"/>
      <c r="F49" s="514"/>
      <c r="G49" s="514"/>
      <c r="H49" s="514"/>
      <c r="I49" s="514"/>
      <c r="J49" s="514"/>
      <c r="K49" s="514"/>
      <c r="L49" s="515"/>
      <c r="M49" s="516"/>
      <c r="N49" s="1134"/>
      <c r="O49" s="1134"/>
      <c r="P49" s="517"/>
      <c r="Q49" s="495"/>
    </row>
    <row r="50" spans="1:17" s="113" customFormat="1" ht="15.75" thickBot="1">
      <c r="A50" s="512"/>
      <c r="B50" s="501"/>
      <c r="C50" s="628">
        <v>100</v>
      </c>
      <c r="D50" s="503"/>
      <c r="E50" s="503"/>
      <c r="F50" s="503"/>
      <c r="G50" s="503"/>
      <c r="H50" s="503"/>
      <c r="I50" s="503"/>
      <c r="J50" s="503"/>
      <c r="K50" s="503"/>
      <c r="L50" s="503"/>
      <c r="M50" s="505"/>
      <c r="N50" s="1134"/>
      <c r="O50" s="1134"/>
      <c r="P50" s="495"/>
      <c r="Q50" s="495"/>
    </row>
    <row r="51" spans="1:17">
      <c r="A51" s="518" t="s">
        <v>2576</v>
      </c>
      <c r="B51" s="519" t="s">
        <v>2542</v>
      </c>
      <c r="C51" s="520">
        <f>C9</f>
        <v>0</v>
      </c>
      <c r="D51" s="521"/>
      <c r="E51" s="521"/>
      <c r="F51" s="521"/>
      <c r="G51" s="521"/>
      <c r="H51" s="521"/>
      <c r="I51" s="521"/>
      <c r="J51" s="521"/>
      <c r="K51" s="522"/>
      <c r="L51" s="523"/>
      <c r="M51" s="524"/>
      <c r="N51" s="1135"/>
      <c r="O51" s="1135"/>
      <c r="P51" s="45"/>
      <c r="Q51" s="495"/>
    </row>
    <row r="52" spans="1:17" ht="15.75" thickBot="1">
      <c r="A52" s="525"/>
      <c r="B52" s="526"/>
      <c r="C52" s="527">
        <v>100</v>
      </c>
      <c r="D52" s="527"/>
      <c r="E52" s="527"/>
      <c r="F52" s="527"/>
      <c r="G52" s="527"/>
      <c r="H52" s="527"/>
      <c r="I52" s="527"/>
      <c r="J52" s="527"/>
      <c r="K52" s="527"/>
      <c r="L52" s="527"/>
      <c r="M52" s="528"/>
      <c r="N52" s="1136"/>
      <c r="O52" s="1136"/>
      <c r="P52" s="45"/>
      <c r="Q52" s="495"/>
    </row>
    <row r="53" spans="1:17" ht="27.75" thickTop="1">
      <c r="A53" s="525"/>
      <c r="B53" s="529" t="s">
        <v>2545</v>
      </c>
      <c r="C53" s="530" t="s">
        <v>2577</v>
      </c>
      <c r="D53" s="530" t="s">
        <v>2578</v>
      </c>
      <c r="E53" s="530" t="s">
        <v>2579</v>
      </c>
      <c r="F53" s="530" t="s">
        <v>2580</v>
      </c>
      <c r="G53" s="530" t="s">
        <v>2581</v>
      </c>
      <c r="H53" s="530" t="s">
        <v>2582</v>
      </c>
      <c r="I53" s="530" t="s">
        <v>2583</v>
      </c>
      <c r="J53" s="530"/>
      <c r="K53" s="531"/>
      <c r="L53" s="532"/>
      <c r="M53" s="533"/>
      <c r="N53" s="1135"/>
      <c r="O53" s="1135"/>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5.75" thickTop="1">
      <c r="A55" s="525"/>
      <c r="B55" s="649">
        <f>B11</f>
        <v>111</v>
      </c>
      <c r="C55" s="540"/>
      <c r="D55" s="540"/>
      <c r="E55" s="540"/>
      <c r="F55" s="540"/>
      <c r="G55" s="540"/>
      <c r="H55" s="540"/>
      <c r="I55" s="540"/>
      <c r="J55" s="540"/>
      <c r="K55" s="541"/>
      <c r="L55" s="542"/>
      <c r="M55" s="543"/>
      <c r="N55" s="1135"/>
      <c r="O55" s="1135"/>
      <c r="P55" s="45"/>
      <c r="Q55" s="495"/>
    </row>
    <row r="56" spans="1:17" ht="15.75" thickBot="1">
      <c r="A56" s="525"/>
      <c r="B56" s="526"/>
      <c r="C56" s="551"/>
      <c r="D56" s="527"/>
      <c r="E56" s="527"/>
      <c r="F56" s="527"/>
      <c r="G56" s="527"/>
      <c r="H56" s="527"/>
      <c r="I56" s="527"/>
      <c r="J56" s="527"/>
      <c r="K56" s="527"/>
      <c r="L56" s="527"/>
      <c r="M56" s="528"/>
      <c r="N56" s="1136"/>
      <c r="O56" s="1136"/>
      <c r="P56" s="45"/>
      <c r="Q56" s="495"/>
    </row>
    <row r="57" spans="1:17" s="462" customFormat="1" ht="15.75" thickTop="1">
      <c r="A57" s="544"/>
      <c r="B57" s="529">
        <f>B12</f>
        <v>111</v>
      </c>
      <c r="C57" s="540"/>
      <c r="D57" s="540"/>
      <c r="E57" s="540"/>
      <c r="F57" s="540"/>
      <c r="G57" s="545"/>
      <c r="H57" s="546"/>
      <c r="I57" s="546"/>
      <c r="J57" s="546"/>
      <c r="K57" s="546"/>
      <c r="L57" s="547"/>
      <c r="M57" s="548"/>
      <c r="N57" s="1137"/>
      <c r="O57" s="1137"/>
      <c r="P57" s="549"/>
      <c r="Q57" s="550"/>
    </row>
    <row r="58" spans="1:17" s="462" customFormat="1" ht="15.75" thickBot="1">
      <c r="A58" s="544"/>
      <c r="B58" s="534"/>
      <c r="C58" s="551"/>
      <c r="D58" s="527"/>
      <c r="E58" s="527"/>
      <c r="F58" s="527"/>
      <c r="G58" s="527"/>
      <c r="H58" s="527"/>
      <c r="I58" s="527"/>
      <c r="J58" s="527"/>
      <c r="K58" s="527"/>
      <c r="L58" s="527"/>
      <c r="M58" s="528"/>
      <c r="N58" s="1136"/>
      <c r="O58" s="1136"/>
      <c r="P58" s="549"/>
      <c r="Q58" s="550"/>
    </row>
    <row r="59" spans="1:17" s="462" customFormat="1" ht="15.75" thickTop="1">
      <c r="A59" s="544"/>
      <c r="B59" s="529">
        <f>B13</f>
        <v>111</v>
      </c>
      <c r="C59" s="540"/>
      <c r="D59" s="540"/>
      <c r="E59" s="540"/>
      <c r="F59" s="540"/>
      <c r="G59" s="545"/>
      <c r="H59" s="546"/>
      <c r="I59" s="546"/>
      <c r="J59" s="546"/>
      <c r="K59" s="546"/>
      <c r="L59" s="547"/>
      <c r="M59" s="548"/>
      <c r="N59" s="1137"/>
      <c r="O59" s="1137"/>
      <c r="P59" s="461"/>
      <c r="Q59" s="552"/>
    </row>
    <row r="60" spans="1:17" s="462" customFormat="1" ht="15.75" thickBot="1">
      <c r="A60" s="544"/>
      <c r="B60" s="534"/>
      <c r="C60" s="551"/>
      <c r="D60" s="551"/>
      <c r="E60" s="551"/>
      <c r="F60" s="551"/>
      <c r="G60" s="551"/>
      <c r="H60" s="553"/>
      <c r="I60" s="553"/>
      <c r="J60" s="553"/>
      <c r="K60" s="553"/>
      <c r="L60" s="553"/>
      <c r="M60" s="554"/>
      <c r="N60" s="1137"/>
      <c r="O60" s="1137"/>
      <c r="P60" s="549"/>
      <c r="Q60" s="550"/>
    </row>
    <row r="61" spans="1:17" ht="15" thickTop="1">
      <c r="A61" s="518" t="s">
        <v>2547</v>
      </c>
      <c r="B61" s="519" t="s">
        <v>2590</v>
      </c>
      <c r="C61" s="564" t="s">
        <v>2585</v>
      </c>
      <c r="D61" s="564" t="s">
        <v>2586</v>
      </c>
      <c r="E61" s="564" t="s">
        <v>2587</v>
      </c>
      <c r="F61" s="564" t="s">
        <v>2588</v>
      </c>
      <c r="G61" s="564" t="s">
        <v>2589</v>
      </c>
      <c r="H61" s="520"/>
      <c r="I61" s="520"/>
      <c r="J61" s="520"/>
      <c r="K61" s="565"/>
      <c r="L61" s="566"/>
      <c r="M61" s="567"/>
      <c r="N61" s="1135"/>
      <c r="O61" s="1135"/>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7.75" thickTop="1">
      <c r="A63" s="525"/>
      <c r="B63" s="529" t="s">
        <v>2728</v>
      </c>
      <c r="C63" s="569" t="s">
        <v>2585</v>
      </c>
      <c r="D63" s="569" t="s">
        <v>2586</v>
      </c>
      <c r="E63" s="569" t="s">
        <v>2587</v>
      </c>
      <c r="F63" s="569" t="s">
        <v>2588</v>
      </c>
      <c r="G63" s="569" t="s">
        <v>2589</v>
      </c>
      <c r="H63" s="530"/>
      <c r="I63" s="530"/>
      <c r="J63" s="530"/>
      <c r="K63" s="531"/>
      <c r="L63" s="532"/>
      <c r="M63" s="533"/>
      <c r="N63" s="1135"/>
      <c r="O63" s="1135"/>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75" thickTop="1">
      <c r="A65" s="525"/>
      <c r="B65" s="537" t="s">
        <v>2677</v>
      </c>
      <c r="C65" s="649" t="s">
        <v>2663</v>
      </c>
      <c r="D65" s="649" t="s">
        <v>2664</v>
      </c>
      <c r="E65" s="649" t="s">
        <v>2665</v>
      </c>
      <c r="F65" s="649" t="s">
        <v>2666</v>
      </c>
      <c r="G65" s="649" t="s">
        <v>2667</v>
      </c>
      <c r="H65" s="530"/>
      <c r="I65" s="530"/>
      <c r="J65" s="530"/>
      <c r="K65" s="530"/>
      <c r="L65" s="530"/>
      <c r="M65" s="1365"/>
      <c r="N65" s="1136"/>
      <c r="O65" s="1136"/>
      <c r="P65" s="45"/>
      <c r="Q65" s="495"/>
    </row>
    <row r="66" spans="1:17" ht="15.75"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75" thickTop="1">
      <c r="A67" s="525"/>
      <c r="B67" s="529" t="s">
        <v>2597</v>
      </c>
      <c r="C67" s="569" t="s">
        <v>2585</v>
      </c>
      <c r="D67" s="569" t="s">
        <v>2586</v>
      </c>
      <c r="E67" s="569" t="s">
        <v>2587</v>
      </c>
      <c r="F67" s="569" t="s">
        <v>2588</v>
      </c>
      <c r="G67" s="569" t="s">
        <v>2589</v>
      </c>
      <c r="H67" s="530"/>
      <c r="I67" s="530"/>
      <c r="J67" s="530"/>
      <c r="K67" s="531"/>
      <c r="L67" s="532"/>
      <c r="M67" s="533"/>
      <c r="N67" s="1135"/>
      <c r="O67" s="1135"/>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75" thickTop="1">
      <c r="A69" s="525"/>
      <c r="B69" s="529" t="s">
        <v>2717</v>
      </c>
      <c r="C69" s="545"/>
      <c r="D69" s="545"/>
      <c r="E69" s="545"/>
      <c r="F69" s="545"/>
      <c r="G69" s="545"/>
      <c r="H69" s="574"/>
      <c r="I69" s="574"/>
      <c r="J69" s="574"/>
      <c r="K69" s="575"/>
      <c r="L69" s="576"/>
      <c r="M69" s="577"/>
      <c r="N69" s="1135"/>
      <c r="O69" s="1135"/>
      <c r="P69" s="45"/>
      <c r="Q69" s="495"/>
    </row>
    <row r="70" spans="1:17" ht="15.75"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5.75" thickTop="1">
      <c r="A71" s="570"/>
      <c r="B71" s="529">
        <f>B23</f>
        <v>111</v>
      </c>
      <c r="C71" s="540"/>
      <c r="D71" s="540"/>
      <c r="E71" s="540"/>
      <c r="F71" s="540"/>
      <c r="G71" s="545"/>
      <c r="H71" s="545"/>
      <c r="I71" s="545"/>
      <c r="J71" s="545"/>
      <c r="K71" s="545"/>
      <c r="L71" s="571"/>
      <c r="M71" s="572"/>
      <c r="N71" s="1134"/>
      <c r="O71" s="1134"/>
      <c r="P71" s="45"/>
      <c r="Q71" s="495"/>
    </row>
    <row r="72" spans="1:17" s="113" customFormat="1" ht="15.75" thickBot="1">
      <c r="A72" s="570"/>
      <c r="B72" s="534"/>
      <c r="C72" s="551"/>
      <c r="D72" s="527"/>
      <c r="E72" s="527"/>
      <c r="F72" s="527"/>
      <c r="G72" s="527"/>
      <c r="H72" s="527"/>
      <c r="I72" s="527"/>
      <c r="J72" s="527"/>
      <c r="K72" s="527"/>
      <c r="L72" s="527"/>
      <c r="M72" s="528"/>
      <c r="N72" s="1136"/>
      <c r="O72" s="1136"/>
      <c r="P72" s="45"/>
      <c r="Q72" s="495"/>
    </row>
    <row r="73" spans="1:17" s="113" customFormat="1" ht="15.75" thickTop="1">
      <c r="A73" s="570"/>
      <c r="B73" s="529">
        <f>B24</f>
        <v>111</v>
      </c>
      <c r="C73" s="540"/>
      <c r="D73" s="540"/>
      <c r="E73" s="540"/>
      <c r="F73" s="540"/>
      <c r="G73" s="545"/>
      <c r="H73" s="545"/>
      <c r="I73" s="545"/>
      <c r="J73" s="545"/>
      <c r="K73" s="545"/>
      <c r="L73" s="545"/>
      <c r="M73" s="572"/>
      <c r="N73" s="1134"/>
      <c r="O73" s="1134"/>
      <c r="P73" s="45"/>
      <c r="Q73" s="495"/>
    </row>
    <row r="74" spans="1:17" s="113" customFormat="1" ht="15.75" thickBot="1">
      <c r="A74" s="570"/>
      <c r="B74" s="534"/>
      <c r="C74" s="551"/>
      <c r="D74" s="527"/>
      <c r="E74" s="527"/>
      <c r="F74" s="527"/>
      <c r="G74" s="527"/>
      <c r="H74" s="527"/>
      <c r="I74" s="527"/>
      <c r="J74" s="527"/>
      <c r="K74" s="527"/>
      <c r="L74" s="527"/>
      <c r="M74" s="528"/>
      <c r="N74" s="1136"/>
      <c r="O74" s="1136"/>
      <c r="P74" s="45"/>
      <c r="Q74" s="495"/>
    </row>
    <row r="75" spans="1:17" s="462" customFormat="1" ht="15.75" thickTop="1">
      <c r="A75" s="544"/>
      <c r="B75" s="529">
        <f>B25</f>
        <v>111</v>
      </c>
      <c r="C75" s="540"/>
      <c r="D75" s="540"/>
      <c r="E75" s="540"/>
      <c r="F75" s="540"/>
      <c r="G75" s="545"/>
      <c r="H75" s="546"/>
      <c r="I75" s="546"/>
      <c r="J75" s="546"/>
      <c r="K75" s="546"/>
      <c r="L75" s="547"/>
      <c r="M75" s="548"/>
      <c r="N75" s="1137"/>
      <c r="O75" s="1137"/>
      <c r="P75" s="549"/>
      <c r="Q75" s="550"/>
    </row>
    <row r="76" spans="1:17" s="462" customFormat="1" ht="15.75" thickBot="1">
      <c r="A76" s="544"/>
      <c r="B76" s="534"/>
      <c r="C76" s="551"/>
      <c r="D76" s="551"/>
      <c r="E76" s="551"/>
      <c r="F76" s="551"/>
      <c r="G76" s="527"/>
      <c r="H76" s="527"/>
      <c r="I76" s="527"/>
      <c r="J76" s="527"/>
      <c r="K76" s="527"/>
      <c r="L76" s="527"/>
      <c r="M76" s="528"/>
      <c r="N76" s="1137"/>
      <c r="O76" s="1137"/>
      <c r="P76" s="549"/>
      <c r="Q76" s="550"/>
    </row>
    <row r="77" spans="1:17" ht="15" thickTop="1">
      <c r="A77" s="518" t="s">
        <v>2551</v>
      </c>
      <c r="B77" s="519" t="s">
        <v>2604</v>
      </c>
      <c r="C77" s="545"/>
      <c r="D77" s="545"/>
      <c r="E77" s="521"/>
      <c r="F77" s="521"/>
      <c r="G77" s="521"/>
      <c r="H77" s="521"/>
      <c r="I77" s="521"/>
      <c r="J77" s="521"/>
      <c r="K77" s="522"/>
      <c r="L77" s="523"/>
      <c r="M77" s="524"/>
      <c r="N77" s="1135"/>
      <c r="O77" s="1135"/>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75" thickTop="1">
      <c r="A79" s="525"/>
      <c r="B79" s="529" t="s">
        <v>2720</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ht="15">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2721</v>
      </c>
      <c r="C82" s="545"/>
      <c r="D82" s="545"/>
      <c r="E82" s="574"/>
      <c r="F82" s="574"/>
      <c r="G82" s="574"/>
      <c r="H82" s="574"/>
      <c r="I82" s="574"/>
      <c r="J82" s="574"/>
      <c r="K82" s="575"/>
      <c r="L82" s="576"/>
      <c r="M82" s="577"/>
      <c r="N82" s="1135"/>
      <c r="O82" s="1135"/>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2729</v>
      </c>
      <c r="C84" s="545"/>
      <c r="D84" s="545"/>
      <c r="E84" s="545"/>
      <c r="F84" s="545"/>
      <c r="G84" s="545"/>
      <c r="H84" s="545"/>
      <c r="I84" s="574"/>
      <c r="J84" s="574"/>
      <c r="K84" s="575"/>
      <c r="L84" s="576"/>
      <c r="M84" s="577"/>
      <c r="N84" s="1135"/>
      <c r="O84" s="1135"/>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2730</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5.75"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2731</v>
      </c>
      <c r="C89" s="545"/>
      <c r="D89" s="545"/>
      <c r="E89" s="545"/>
      <c r="F89" s="545"/>
      <c r="G89" s="545"/>
      <c r="H89" s="545"/>
      <c r="I89" s="545"/>
      <c r="J89" s="545"/>
      <c r="K89" s="545"/>
      <c r="L89" s="545"/>
      <c r="M89" s="572"/>
      <c r="N89" s="1137"/>
      <c r="O89" s="1137"/>
      <c r="P89" s="549"/>
      <c r="Q89" s="550"/>
    </row>
    <row r="90" spans="1:17" s="462" customFormat="1" ht="15.75" thickBot="1">
      <c r="A90" s="544"/>
      <c r="B90" s="534"/>
      <c r="C90" s="551"/>
      <c r="D90" s="527"/>
      <c r="E90" s="527"/>
      <c r="F90" s="527"/>
      <c r="G90" s="527"/>
      <c r="H90" s="527"/>
      <c r="I90" s="527"/>
      <c r="J90" s="527"/>
      <c r="K90" s="527"/>
      <c r="L90" s="527"/>
      <c r="M90" s="528"/>
      <c r="N90" s="1137"/>
      <c r="O90" s="1137"/>
      <c r="P90" s="549"/>
      <c r="Q90" s="550"/>
    </row>
    <row r="91" spans="1:17" ht="15" thickTop="1">
      <c r="A91" s="590"/>
      <c r="B91" s="529">
        <f>B32</f>
        <v>111</v>
      </c>
      <c r="C91" s="540"/>
      <c r="D91" s="540"/>
      <c r="E91" s="540"/>
      <c r="F91" s="540"/>
      <c r="G91" s="545"/>
      <c r="H91" s="546"/>
      <c r="I91" s="546"/>
      <c r="J91" s="546"/>
      <c r="K91" s="546"/>
      <c r="L91" s="547"/>
      <c r="M91" s="548"/>
      <c r="N91" s="1135"/>
      <c r="O91" s="1135"/>
      <c r="P91" s="45"/>
      <c r="Q91" s="495"/>
    </row>
    <row r="92" spans="1:17" ht="15.75" thickBot="1">
      <c r="A92" s="525"/>
      <c r="B92" s="534"/>
      <c r="C92" s="551"/>
      <c r="D92" s="527"/>
      <c r="E92" s="527"/>
      <c r="F92" s="527"/>
      <c r="G92" s="551"/>
      <c r="H92" s="553"/>
      <c r="I92" s="553"/>
      <c r="J92" s="553"/>
      <c r="K92" s="553"/>
      <c r="L92" s="553"/>
      <c r="M92" s="554"/>
      <c r="N92" s="1136"/>
      <c r="O92" s="1136"/>
      <c r="P92" s="45"/>
      <c r="Q92" s="495"/>
    </row>
    <row r="93" spans="1:17" ht="15" thickTop="1">
      <c r="A93" s="590"/>
      <c r="B93" s="529">
        <f>B33</f>
        <v>111</v>
      </c>
      <c r="C93" s="540"/>
      <c r="D93" s="540"/>
      <c r="E93" s="540"/>
      <c r="F93" s="540"/>
      <c r="G93" s="545"/>
      <c r="H93" s="546"/>
      <c r="I93" s="546"/>
      <c r="J93" s="546"/>
      <c r="K93" s="546"/>
      <c r="L93" s="547"/>
      <c r="M93" s="548"/>
      <c r="N93" s="1135"/>
      <c r="O93" s="1135"/>
      <c r="P93" s="45"/>
      <c r="Q93" s="495"/>
    </row>
    <row r="94" spans="1:17" ht="15.75" thickBot="1">
      <c r="A94" s="525"/>
      <c r="B94" s="534"/>
      <c r="C94" s="551"/>
      <c r="D94" s="527"/>
      <c r="E94" s="527"/>
      <c r="F94" s="527"/>
      <c r="G94" s="551"/>
      <c r="H94" s="553"/>
      <c r="I94" s="553"/>
      <c r="J94" s="553"/>
      <c r="K94" s="553"/>
      <c r="L94" s="553"/>
      <c r="M94" s="554"/>
      <c r="N94" s="1136"/>
      <c r="O94" s="1136"/>
      <c r="P94" s="45"/>
      <c r="Q94" s="495"/>
    </row>
    <row r="95" spans="1:17" ht="15" thickTop="1">
      <c r="A95" s="590"/>
      <c r="B95" s="625">
        <f>B34</f>
        <v>111</v>
      </c>
      <c r="C95" s="540"/>
      <c r="D95" s="540"/>
      <c r="E95" s="540"/>
      <c r="F95" s="540"/>
      <c r="G95" s="545"/>
      <c r="H95" s="546"/>
      <c r="I95" s="546"/>
      <c r="J95" s="546"/>
      <c r="K95" s="546"/>
      <c r="L95" s="547"/>
      <c r="M95" s="548"/>
      <c r="N95" s="1136"/>
      <c r="O95" s="1136"/>
      <c r="P95" s="626"/>
      <c r="Q95" s="627"/>
    </row>
    <row r="96" spans="1:17" ht="15.75" thickBot="1">
      <c r="A96" s="525"/>
      <c r="B96" s="534"/>
      <c r="C96" s="551"/>
      <c r="D96" s="551"/>
      <c r="E96" s="551"/>
      <c r="F96" s="551"/>
      <c r="G96" s="551"/>
      <c r="H96" s="553"/>
      <c r="I96" s="553"/>
      <c r="J96" s="553"/>
      <c r="K96" s="553"/>
      <c r="L96" s="553"/>
      <c r="M96" s="554"/>
      <c r="N96" s="1136"/>
      <c r="O96" s="1136"/>
      <c r="P96" s="45"/>
      <c r="Q96" s="495"/>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2732</v>
      </c>
      <c r="B1" s="386"/>
      <c r="C1" s="387" t="s">
        <v>2733</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2315</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5">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30" ht="15">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30" ht="15.7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30" s="113" customFormat="1" ht="15.75" thickBot="1">
      <c r="A7" s="399" t="s">
        <v>2536</v>
      </c>
      <c r="B7" s="400"/>
      <c r="C7" s="401">
        <f>'数据-取费表'!B2</f>
        <v>43886</v>
      </c>
      <c r="D7" s="402">
        <v>100</v>
      </c>
      <c r="E7" s="403">
        <v>42309</v>
      </c>
      <c r="F7" s="404">
        <f>SUMIF(70:70,YEAR(E7)&amp;"-"&amp;INT((MONTH(E7)+2)/3),71:71)</f>
        <v>0</v>
      </c>
      <c r="G7" s="2679">
        <v>42309</v>
      </c>
      <c r="H7" s="402">
        <f>SUMIF(70:70,YEAR(G7)&amp;"-"&amp;INT((MONTH(G7)+2)/3),71:71)</f>
        <v>0</v>
      </c>
      <c r="I7" s="2679">
        <v>42036</v>
      </c>
      <c r="J7" s="402">
        <f>SUMIF(70:70,YEAR(I7)&amp;"-"&amp;INT((MONTH(I7)+2)/3),71:71)</f>
        <v>0</v>
      </c>
      <c r="K7" s="602"/>
      <c r="L7" s="1115"/>
      <c r="M7" s="1116"/>
      <c r="N7" s="1116"/>
      <c r="O7" s="1116"/>
      <c r="P7" s="3216"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756" t="e">
        <f>D7/J7</f>
        <v>#DIV/0!</v>
      </c>
    </row>
    <row r="8" spans="1:30" s="113" customFormat="1" ht="15.75" thickBot="1">
      <c r="A8" s="399" t="s">
        <v>2538</v>
      </c>
      <c r="B8" s="400"/>
      <c r="C8" s="405" t="s">
        <v>2539</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45" si="3">D8/F8</f>
        <v>#DIV/0!</v>
      </c>
      <c r="AB8" s="756" t="e">
        <f t="shared" ref="AB8:AB45" si="4">D8/H8</f>
        <v>#DIV/0!</v>
      </c>
      <c r="AC8" s="756" t="e">
        <f t="shared" ref="AC8:AC45" si="5">D8/J8</f>
        <v>#DIV/0!</v>
      </c>
    </row>
    <row r="9" spans="1:30" s="113" customFormat="1">
      <c r="A9" s="406" t="s">
        <v>2541</v>
      </c>
      <c r="B9" s="70" t="s">
        <v>2542</v>
      </c>
      <c r="C9" s="2682"/>
      <c r="D9" s="126">
        <v>100</v>
      </c>
      <c r="E9" s="2682"/>
      <c r="F9" s="126">
        <f>SUMIF(75:75,E9,76:76)-SUMIF(75:75,C9,76:76)+100</f>
        <v>100</v>
      </c>
      <c r="G9" s="2682"/>
      <c r="H9" s="126">
        <f>SUMIF(75:75,G9,76:76)-SUMIF(75:75,C9,76:76)+100</f>
        <v>100</v>
      </c>
      <c r="I9" s="2682"/>
      <c r="J9" s="126">
        <f>SUMIF(75:75,I9,76:76)-SUMIF(75:75,C9,76:76)+100</f>
        <v>100</v>
      </c>
      <c r="K9" s="602"/>
      <c r="L9" s="1115"/>
      <c r="M9" s="1116"/>
      <c r="N9" s="1116"/>
      <c r="O9" s="1117"/>
      <c r="P9" s="3201"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30" s="418" customFormat="1" ht="27">
      <c r="A10" s="412"/>
      <c r="B10" s="413" t="s">
        <v>2545</v>
      </c>
      <c r="C10" s="423"/>
      <c r="D10" s="127">
        <v>100</v>
      </c>
      <c r="E10" s="456"/>
      <c r="F10" s="127">
        <f>ROUND(100/'数据-取费表'!G16,0)</f>
        <v>111</v>
      </c>
      <c r="G10" s="454"/>
      <c r="H10" s="127">
        <f>ROUND(100/'数据-取费表'!G16,0)</f>
        <v>111</v>
      </c>
      <c r="I10" s="454"/>
      <c r="J10" s="127">
        <f>ROUND(100/'数据-取费表'!G16,0)</f>
        <v>111</v>
      </c>
      <c r="K10" s="661"/>
      <c r="L10" s="1118"/>
      <c r="M10" s="1119"/>
      <c r="N10" s="1119"/>
      <c r="O10" s="1120"/>
      <c r="P10" s="3201"/>
      <c r="Q10" s="1778" t="str">
        <f t="shared" si="6"/>
        <v>土地使用年限（年）</v>
      </c>
      <c r="R10" s="753" t="s">
        <v>17</v>
      </c>
      <c r="S10" s="754">
        <f t="shared" si="0"/>
        <v>111</v>
      </c>
      <c r="T10" s="753" t="s">
        <v>17</v>
      </c>
      <c r="U10" s="754">
        <f t="shared" si="1"/>
        <v>111</v>
      </c>
      <c r="V10" s="753" t="s">
        <v>17</v>
      </c>
      <c r="W10" s="754">
        <f t="shared" si="2"/>
        <v>111</v>
      </c>
      <c r="X10" s="755"/>
      <c r="Y10" s="3073"/>
      <c r="Z10" s="55" t="str">
        <f t="shared" si="7"/>
        <v>土地使用年限（年）</v>
      </c>
      <c r="AA10" s="756">
        <f t="shared" si="3"/>
        <v>0.90090090090090091</v>
      </c>
      <c r="AB10" s="756">
        <f t="shared" si="4"/>
        <v>0.90090090090090091</v>
      </c>
      <c r="AC10" s="756">
        <f t="shared" si="5"/>
        <v>0.90090090090090091</v>
      </c>
    </row>
    <row r="11" spans="1:30" ht="15">
      <c r="A11" s="419"/>
      <c r="B11" s="413" t="s">
        <v>2546</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201"/>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30" s="113" customFormat="1" ht="15">
      <c r="A12" s="422"/>
      <c r="B12" s="2583" t="s">
        <v>2735</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201"/>
      <c r="Q12" s="1778" t="str">
        <f t="shared" si="6"/>
        <v>配建</v>
      </c>
      <c r="R12" s="753" t="s">
        <v>17</v>
      </c>
      <c r="S12" s="754">
        <f t="shared" si="0"/>
        <v>100</v>
      </c>
      <c r="T12" s="753" t="s">
        <v>17</v>
      </c>
      <c r="U12" s="754">
        <f t="shared" si="1"/>
        <v>100</v>
      </c>
      <c r="V12" s="753" t="s">
        <v>17</v>
      </c>
      <c r="W12" s="754">
        <f t="shared" si="2"/>
        <v>100</v>
      </c>
      <c r="X12" s="755"/>
      <c r="Y12" s="3073"/>
      <c r="Z12" s="55" t="str">
        <f t="shared" si="7"/>
        <v>配建</v>
      </c>
      <c r="AA12" s="756">
        <f>D12/F12</f>
        <v>1</v>
      </c>
      <c r="AB12" s="756">
        <f>D12/H12</f>
        <v>1</v>
      </c>
      <c r="AC12" s="756">
        <f>D12/J12</f>
        <v>1</v>
      </c>
    </row>
    <row r="13" spans="1:30" ht="15">
      <c r="A13" s="419"/>
      <c r="B13" s="2583">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D13/F13</f>
        <v>1</v>
      </c>
      <c r="AB13" s="756">
        <f>D13/H13</f>
        <v>1</v>
      </c>
      <c r="AC13" s="756">
        <f>D13/J13</f>
        <v>1</v>
      </c>
    </row>
    <row r="14" spans="1:30" ht="15.75" thickBot="1">
      <c r="A14" s="427"/>
      <c r="B14" s="2585">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201"/>
      <c r="Q14" s="1778">
        <f t="shared" si="6"/>
        <v>111</v>
      </c>
      <c r="R14" s="753" t="s">
        <v>17</v>
      </c>
      <c r="S14" s="754">
        <f t="shared" si="0"/>
        <v>100</v>
      </c>
      <c r="T14" s="753" t="s">
        <v>17</v>
      </c>
      <c r="U14" s="754">
        <f t="shared" si="1"/>
        <v>100</v>
      </c>
      <c r="V14" s="753" t="s">
        <v>17</v>
      </c>
      <c r="W14" s="754">
        <f t="shared" si="2"/>
        <v>100</v>
      </c>
      <c r="X14" s="755"/>
      <c r="Y14" s="3073"/>
      <c r="Z14" s="55">
        <f t="shared" si="7"/>
        <v>111</v>
      </c>
      <c r="AA14" s="756">
        <f>D14/F14</f>
        <v>1</v>
      </c>
      <c r="AB14" s="756">
        <f>D14/H14</f>
        <v>1</v>
      </c>
      <c r="AC14" s="756">
        <f>D14/J14</f>
        <v>1</v>
      </c>
    </row>
    <row r="15" spans="1:30" ht="15">
      <c r="A15" s="431" t="s">
        <v>2547</v>
      </c>
      <c r="B15" s="68" t="s">
        <v>2081</v>
      </c>
      <c r="C15" s="2586">
        <f>估价对象房地状况!C15</f>
        <v>0</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208" t="s">
        <v>2548</v>
      </c>
      <c r="Q15" s="1793" t="str">
        <f t="shared" si="6"/>
        <v>居住社区成熟度</v>
      </c>
      <c r="R15" s="757" t="s">
        <v>17</v>
      </c>
      <c r="S15" s="758">
        <f t="shared" si="0"/>
        <v>100</v>
      </c>
      <c r="T15" s="757" t="s">
        <v>17</v>
      </c>
      <c r="U15" s="758">
        <f t="shared" si="1"/>
        <v>100</v>
      </c>
      <c r="V15" s="757" t="s">
        <v>17</v>
      </c>
      <c r="W15" s="758">
        <f t="shared" si="2"/>
        <v>100</v>
      </c>
      <c r="X15" s="1796"/>
      <c r="Y15" s="3208" t="s">
        <v>2548</v>
      </c>
      <c r="Z15" s="1797" t="str">
        <f t="shared" si="7"/>
        <v>居住社区成熟度</v>
      </c>
      <c r="AA15" s="1794">
        <f t="shared" si="3"/>
        <v>1</v>
      </c>
      <c r="AB15" s="1794">
        <f t="shared" si="4"/>
        <v>1</v>
      </c>
      <c r="AC15" s="1794">
        <f t="shared" si="5"/>
        <v>1</v>
      </c>
    </row>
    <row r="16" spans="1:30" ht="15">
      <c r="A16" s="419"/>
      <c r="B16" s="437"/>
      <c r="C16" s="438"/>
      <c r="D16" s="439"/>
      <c r="E16" s="2588"/>
      <c r="F16" s="439"/>
      <c r="G16" s="2588"/>
      <c r="H16" s="441"/>
      <c r="I16" s="2587"/>
      <c r="J16" s="439"/>
      <c r="K16" s="661"/>
      <c r="L16" s="1123"/>
      <c r="M16" s="1114"/>
      <c r="N16" s="1114"/>
      <c r="O16" s="1122"/>
      <c r="P16" s="3209"/>
      <c r="Q16" s="1793"/>
      <c r="R16" s="757"/>
      <c r="S16" s="758"/>
      <c r="T16" s="757"/>
      <c r="U16" s="758"/>
      <c r="V16" s="757"/>
      <c r="W16" s="758"/>
      <c r="X16" s="1796"/>
      <c r="Y16" s="3209"/>
      <c r="Z16" s="1797"/>
      <c r="AA16" s="1794">
        <v>1</v>
      </c>
      <c r="AB16" s="1794">
        <v>1</v>
      </c>
      <c r="AC16" s="1794">
        <v>1</v>
      </c>
    </row>
    <row r="17" spans="1:29" ht="15">
      <c r="A17" s="419"/>
      <c r="B17" s="442" t="s">
        <v>2641</v>
      </c>
      <c r="C17" s="2647">
        <f>估价对象房地状况!C16</f>
        <v>0</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209"/>
      <c r="Q17" s="1793" t="str">
        <f>B17</f>
        <v>商业繁华度</v>
      </c>
      <c r="R17" s="757" t="s">
        <v>17</v>
      </c>
      <c r="S17" s="758">
        <f>F17</f>
        <v>100</v>
      </c>
      <c r="T17" s="757" t="s">
        <v>17</v>
      </c>
      <c r="U17" s="758">
        <f>H17</f>
        <v>100</v>
      </c>
      <c r="V17" s="757" t="s">
        <v>17</v>
      </c>
      <c r="W17" s="758">
        <f>J17</f>
        <v>100</v>
      </c>
      <c r="X17" s="1796"/>
      <c r="Y17" s="3209"/>
      <c r="Z17" s="1797" t="str">
        <f>Q17</f>
        <v>商业繁华度</v>
      </c>
      <c r="AA17" s="1794">
        <f t="shared" si="3"/>
        <v>1</v>
      </c>
      <c r="AB17" s="1794">
        <f t="shared" si="4"/>
        <v>1</v>
      </c>
      <c r="AC17" s="1794">
        <f t="shared" si="5"/>
        <v>1</v>
      </c>
    </row>
    <row r="18" spans="1:29" ht="15">
      <c r="A18" s="419"/>
      <c r="B18" s="447"/>
      <c r="C18" s="2591"/>
      <c r="D18" s="441"/>
      <c r="E18" s="2593"/>
      <c r="F18" s="441"/>
      <c r="G18" s="2593"/>
      <c r="H18" s="439"/>
      <c r="I18" s="2592"/>
      <c r="J18" s="439"/>
      <c r="K18" s="661"/>
      <c r="L18" s="1123"/>
      <c r="M18" s="1114"/>
      <c r="N18" s="1114"/>
      <c r="O18" s="1122"/>
      <c r="P18" s="3209"/>
      <c r="Q18" s="1793"/>
      <c r="R18" s="757"/>
      <c r="S18" s="758"/>
      <c r="T18" s="757"/>
      <c r="U18" s="758"/>
      <c r="V18" s="757"/>
      <c r="W18" s="758"/>
      <c r="X18" s="1796"/>
      <c r="Y18" s="3209"/>
      <c r="Z18" s="1797"/>
      <c r="AA18" s="1794">
        <v>1</v>
      </c>
      <c r="AB18" s="1794">
        <v>1</v>
      </c>
      <c r="AC18" s="1794">
        <v>1</v>
      </c>
    </row>
    <row r="19" spans="1:29" ht="15">
      <c r="A19" s="419"/>
      <c r="B19" s="442" t="s">
        <v>2675</v>
      </c>
      <c r="C19" s="2647">
        <f>估价对象房地状况!C17</f>
        <v>0</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209"/>
      <c r="Q19" s="1793" t="str">
        <f>B19</f>
        <v>办公集聚程度</v>
      </c>
      <c r="R19" s="757" t="s">
        <v>17</v>
      </c>
      <c r="S19" s="758">
        <f>F19</f>
        <v>100</v>
      </c>
      <c r="T19" s="757" t="s">
        <v>17</v>
      </c>
      <c r="U19" s="758">
        <f>H19</f>
        <v>100</v>
      </c>
      <c r="V19" s="757" t="s">
        <v>17</v>
      </c>
      <c r="W19" s="758">
        <f>J19</f>
        <v>100</v>
      </c>
      <c r="X19" s="1796"/>
      <c r="Y19" s="3209"/>
      <c r="Z19" s="1797" t="str">
        <f>Q19</f>
        <v>办公集聚程度</v>
      </c>
      <c r="AA19" s="1794">
        <f t="shared" si="3"/>
        <v>1</v>
      </c>
      <c r="AB19" s="1794">
        <f t="shared" si="4"/>
        <v>1</v>
      </c>
      <c r="AC19" s="1794">
        <f t="shared" si="5"/>
        <v>1</v>
      </c>
    </row>
    <row r="20" spans="1:29" ht="15">
      <c r="A20" s="419"/>
      <c r="B20" s="447"/>
      <c r="C20" s="438"/>
      <c r="D20" s="439"/>
      <c r="E20" s="2588"/>
      <c r="F20" s="439"/>
      <c r="G20" s="2588"/>
      <c r="H20" s="439"/>
      <c r="I20" s="2587"/>
      <c r="J20" s="439"/>
      <c r="K20" s="661"/>
      <c r="L20" s="1123"/>
      <c r="M20" s="1114"/>
      <c r="N20" s="1114"/>
      <c r="O20" s="1122"/>
      <c r="P20" s="3209"/>
      <c r="Q20" s="1793"/>
      <c r="R20" s="757"/>
      <c r="S20" s="758"/>
      <c r="T20" s="757"/>
      <c r="U20" s="758"/>
      <c r="V20" s="757"/>
      <c r="W20" s="758"/>
      <c r="X20" s="1796"/>
      <c r="Y20" s="3209"/>
      <c r="Z20" s="1797"/>
      <c r="AA20" s="1794">
        <v>1</v>
      </c>
      <c r="AB20" s="1794">
        <v>1</v>
      </c>
      <c r="AC20" s="1794">
        <v>1</v>
      </c>
    </row>
    <row r="21" spans="1:29" ht="15">
      <c r="A21" s="419"/>
      <c r="B21" s="442" t="s">
        <v>2697</v>
      </c>
      <c r="C21" s="2590">
        <f>估价对象房地状况!C18</f>
        <v>0</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209"/>
      <c r="Q21" s="1793" t="str">
        <f>B21</f>
        <v>交通便捷度</v>
      </c>
      <c r="R21" s="757" t="s">
        <v>17</v>
      </c>
      <c r="S21" s="758">
        <f>F21</f>
        <v>100</v>
      </c>
      <c r="T21" s="757" t="s">
        <v>17</v>
      </c>
      <c r="U21" s="758">
        <f>H21</f>
        <v>100</v>
      </c>
      <c r="V21" s="757" t="s">
        <v>17</v>
      </c>
      <c r="W21" s="758">
        <f>J21</f>
        <v>100</v>
      </c>
      <c r="X21" s="1796"/>
      <c r="Y21" s="3209"/>
      <c r="Z21" s="1797" t="str">
        <f>Q21</f>
        <v>交通便捷度</v>
      </c>
      <c r="AA21" s="1794">
        <f t="shared" si="3"/>
        <v>1</v>
      </c>
      <c r="AB21" s="1794">
        <f t="shared" si="4"/>
        <v>1</v>
      </c>
      <c r="AC21" s="1794">
        <f t="shared" si="5"/>
        <v>1</v>
      </c>
    </row>
    <row r="22" spans="1:29" ht="15">
      <c r="A22" s="419"/>
      <c r="B22" s="1367"/>
      <c r="C22" s="438"/>
      <c r="D22" s="441"/>
      <c r="E22" s="2588"/>
      <c r="F22" s="439"/>
      <c r="G22" s="2588"/>
      <c r="H22" s="439"/>
      <c r="I22" s="2587"/>
      <c r="J22" s="439"/>
      <c r="K22" s="661"/>
      <c r="L22" s="1123"/>
      <c r="M22" s="1114"/>
      <c r="N22" s="1114"/>
      <c r="O22" s="1122"/>
      <c r="P22" s="3209"/>
      <c r="Q22" s="1793"/>
      <c r="R22" s="757"/>
      <c r="S22" s="758"/>
      <c r="T22" s="757"/>
      <c r="U22" s="758"/>
      <c r="V22" s="757"/>
      <c r="W22" s="758"/>
      <c r="X22" s="1796"/>
      <c r="Y22" s="3209"/>
      <c r="Z22" s="1797"/>
      <c r="AA22" s="1794">
        <v>1</v>
      </c>
      <c r="AB22" s="1794">
        <v>1</v>
      </c>
      <c r="AC22" s="1794">
        <v>1</v>
      </c>
    </row>
    <row r="23" spans="1:29" ht="15">
      <c r="A23" s="395"/>
      <c r="B23" s="442" t="s">
        <v>2736</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209"/>
      <c r="Q23" s="1793" t="str">
        <f t="shared" ref="Q23:Q37" si="8">B23</f>
        <v>区域土地利用方向</v>
      </c>
      <c r="R23" s="757" t="s">
        <v>17</v>
      </c>
      <c r="S23" s="758">
        <f>F23</f>
        <v>100</v>
      </c>
      <c r="T23" s="757" t="s">
        <v>17</v>
      </c>
      <c r="U23" s="758">
        <f>H23</f>
        <v>100</v>
      </c>
      <c r="V23" s="757" t="s">
        <v>17</v>
      </c>
      <c r="W23" s="758">
        <f>J23</f>
        <v>100</v>
      </c>
      <c r="X23" s="1796"/>
      <c r="Y23" s="3209"/>
      <c r="Z23" s="1797" t="str">
        <f>Q23</f>
        <v>区域土地利用方向</v>
      </c>
      <c r="AA23" s="1794">
        <f t="shared" si="3"/>
        <v>1</v>
      </c>
      <c r="AB23" s="1794">
        <f t="shared" si="4"/>
        <v>1</v>
      </c>
      <c r="AC23" s="1794">
        <f t="shared" si="5"/>
        <v>1</v>
      </c>
    </row>
    <row r="24" spans="1:29" ht="15">
      <c r="A24" s="395"/>
      <c r="B24" s="447"/>
      <c r="C24" s="607"/>
      <c r="D24" s="439"/>
      <c r="E24" s="2588"/>
      <c r="F24" s="439"/>
      <c r="G24" s="2587"/>
      <c r="H24" s="439"/>
      <c r="I24" s="2587"/>
      <c r="J24" s="439"/>
      <c r="K24" s="795"/>
      <c r="L24" s="1123"/>
      <c r="M24" s="1114"/>
      <c r="N24" s="1114"/>
      <c r="O24" s="1122"/>
      <c r="P24" s="3209"/>
      <c r="Q24" s="1793"/>
      <c r="R24" s="757"/>
      <c r="S24" s="758"/>
      <c r="T24" s="757"/>
      <c r="U24" s="758"/>
      <c r="V24" s="757"/>
      <c r="W24" s="758"/>
      <c r="X24" s="1796"/>
      <c r="Y24" s="3209"/>
      <c r="Z24" s="1797"/>
      <c r="AA24" s="1794"/>
      <c r="AB24" s="1794"/>
      <c r="AC24" s="1794"/>
    </row>
    <row r="25" spans="1:29" ht="27">
      <c r="A25" s="395"/>
      <c r="B25" s="1367" t="s">
        <v>2737</v>
      </c>
      <c r="C25" s="2647">
        <f>估价对象房地状况!C20</f>
        <v>0</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209"/>
      <c r="Q25" s="1793" t="str">
        <f t="shared" si="8"/>
        <v>自然及人文环境状况</v>
      </c>
      <c r="R25" s="757" t="s">
        <v>17</v>
      </c>
      <c r="S25" s="758">
        <f>F25</f>
        <v>100</v>
      </c>
      <c r="T25" s="757" t="s">
        <v>17</v>
      </c>
      <c r="U25" s="758">
        <f>H25</f>
        <v>100</v>
      </c>
      <c r="V25" s="757" t="s">
        <v>17</v>
      </c>
      <c r="W25" s="758">
        <f>J25</f>
        <v>100</v>
      </c>
      <c r="X25" s="1796"/>
      <c r="Y25" s="3209"/>
      <c r="Z25" s="1797" t="str">
        <f>Q25</f>
        <v>自然及人文环境状况</v>
      </c>
      <c r="AA25" s="1794">
        <f t="shared" si="3"/>
        <v>1</v>
      </c>
      <c r="AB25" s="1794">
        <f t="shared" si="4"/>
        <v>1</v>
      </c>
      <c r="AC25" s="1794">
        <f t="shared" si="5"/>
        <v>1</v>
      </c>
    </row>
    <row r="26" spans="1:29" ht="15">
      <c r="A26" s="395"/>
      <c r="B26" s="447"/>
      <c r="C26" s="438"/>
      <c r="D26" s="439"/>
      <c r="E26" s="2594"/>
      <c r="F26" s="439"/>
      <c r="G26" s="2594"/>
      <c r="H26" s="439"/>
      <c r="I26" s="438"/>
      <c r="J26" s="439"/>
      <c r="K26" s="661"/>
      <c r="L26" s="1123"/>
      <c r="M26" s="1114"/>
      <c r="N26" s="1114"/>
      <c r="O26" s="1122"/>
      <c r="P26" s="3209"/>
      <c r="Q26" s="1793"/>
      <c r="R26" s="757"/>
      <c r="S26" s="758"/>
      <c r="T26" s="757"/>
      <c r="U26" s="758"/>
      <c r="V26" s="757"/>
      <c r="W26" s="758"/>
      <c r="X26" s="1796"/>
      <c r="Y26" s="3209"/>
      <c r="Z26" s="1797"/>
      <c r="AA26" s="1794">
        <v>1</v>
      </c>
      <c r="AB26" s="1794">
        <v>1</v>
      </c>
      <c r="AC26" s="1794">
        <v>1</v>
      </c>
    </row>
    <row r="27" spans="1:29" s="113" customFormat="1" ht="15">
      <c r="A27" s="638"/>
      <c r="B27" s="1367" t="s">
        <v>2642</v>
      </c>
      <c r="C27" s="2590">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209"/>
      <c r="Q27" s="1778" t="str">
        <f t="shared" si="8"/>
        <v>公共配套设施</v>
      </c>
      <c r="R27" s="753" t="s">
        <v>17</v>
      </c>
      <c r="S27" s="754">
        <f>F27</f>
        <v>100</v>
      </c>
      <c r="T27" s="753" t="s">
        <v>17</v>
      </c>
      <c r="U27" s="754">
        <f>H27</f>
        <v>100</v>
      </c>
      <c r="V27" s="753" t="s">
        <v>17</v>
      </c>
      <c r="W27" s="754">
        <f>J27</f>
        <v>100</v>
      </c>
      <c r="X27" s="755"/>
      <c r="Y27" s="3209"/>
      <c r="Z27" s="55" t="str">
        <f>Q27</f>
        <v>公共配套设施</v>
      </c>
      <c r="AA27" s="1794">
        <f>D27/F27</f>
        <v>1</v>
      </c>
      <c r="AB27" s="1794">
        <f>D27/H27</f>
        <v>1</v>
      </c>
      <c r="AC27" s="1794">
        <f>D27/J27</f>
        <v>1</v>
      </c>
    </row>
    <row r="28" spans="1:29" s="113" customFormat="1" ht="15">
      <c r="A28" s="638"/>
      <c r="B28" s="447"/>
      <c r="C28" s="2683"/>
      <c r="D28" s="439"/>
      <c r="E28" s="2594"/>
      <c r="F28" s="439"/>
      <c r="G28" s="2594"/>
      <c r="H28" s="439"/>
      <c r="I28" s="438"/>
      <c r="J28" s="439"/>
      <c r="K28" s="661"/>
      <c r="L28" s="1115"/>
      <c r="M28" s="1116"/>
      <c r="N28" s="1116"/>
      <c r="O28" s="1117"/>
      <c r="P28" s="3209"/>
      <c r="Q28" s="1778"/>
      <c r="R28" s="753"/>
      <c r="S28" s="754"/>
      <c r="T28" s="753"/>
      <c r="U28" s="754"/>
      <c r="V28" s="753"/>
      <c r="W28" s="754"/>
      <c r="X28" s="755"/>
      <c r="Y28" s="3209"/>
      <c r="Z28" s="55"/>
      <c r="AA28" s="1794">
        <v>1</v>
      </c>
      <c r="AB28" s="1794">
        <v>1</v>
      </c>
      <c r="AC28" s="1794">
        <v>1</v>
      </c>
    </row>
    <row r="29" spans="1:29" s="113" customFormat="1" ht="15">
      <c r="A29" s="638"/>
      <c r="B29" s="1367" t="s">
        <v>2643</v>
      </c>
      <c r="C29" s="2590">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209"/>
      <c r="Q29" s="1778" t="str">
        <f t="shared" ref="Q29" si="9">B29</f>
        <v>基础设施水平</v>
      </c>
      <c r="R29" s="753" t="s">
        <v>17</v>
      </c>
      <c r="S29" s="754">
        <f>F29</f>
        <v>100</v>
      </c>
      <c r="T29" s="753" t="s">
        <v>17</v>
      </c>
      <c r="U29" s="754">
        <f>H29</f>
        <v>100</v>
      </c>
      <c r="V29" s="753" t="s">
        <v>17</v>
      </c>
      <c r="W29" s="754">
        <f>J29</f>
        <v>100</v>
      </c>
      <c r="X29" s="755"/>
      <c r="Y29" s="3209"/>
      <c r="Z29" s="55" t="str">
        <f>Q29</f>
        <v>基础设施水平</v>
      </c>
      <c r="AA29" s="1794">
        <f>D29/F29</f>
        <v>1</v>
      </c>
      <c r="AB29" s="1794">
        <f>D29/H29</f>
        <v>1</v>
      </c>
      <c r="AC29" s="1794">
        <f>D29/J29</f>
        <v>1</v>
      </c>
    </row>
    <row r="30" spans="1:29" s="113" customFormat="1" ht="15">
      <c r="A30" s="638"/>
      <c r="B30" s="447"/>
      <c r="C30" s="2683"/>
      <c r="D30" s="439"/>
      <c r="E30" s="2684"/>
      <c r="F30" s="439"/>
      <c r="G30" s="2684"/>
      <c r="H30" s="439"/>
      <c r="I30" s="2684"/>
      <c r="J30" s="439"/>
      <c r="K30" s="661"/>
      <c r="L30" s="1115"/>
      <c r="M30" s="1116"/>
      <c r="N30" s="1116"/>
      <c r="O30" s="1117"/>
      <c r="P30" s="3209"/>
      <c r="Q30" s="1778"/>
      <c r="R30" s="753"/>
      <c r="S30" s="754"/>
      <c r="T30" s="753"/>
      <c r="U30" s="754"/>
      <c r="V30" s="753"/>
      <c r="W30" s="754"/>
      <c r="X30" s="755"/>
      <c r="Y30" s="3209"/>
      <c r="Z30" s="55"/>
      <c r="AA30" s="1794">
        <v>1</v>
      </c>
      <c r="AB30" s="1794">
        <v>1</v>
      </c>
      <c r="AC30" s="1794">
        <v>1</v>
      </c>
    </row>
    <row r="31" spans="1:29" ht="15">
      <c r="A31" s="419"/>
      <c r="B31" s="447" t="s">
        <v>2644</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209"/>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209"/>
      <c r="Z31" s="1797" t="str">
        <f t="shared" ref="Z31:Z45" si="13">Q31</f>
        <v>临街状况</v>
      </c>
      <c r="AA31" s="1794">
        <f t="shared" si="3"/>
        <v>1</v>
      </c>
      <c r="AB31" s="1794">
        <f t="shared" si="4"/>
        <v>1</v>
      </c>
      <c r="AC31" s="1794">
        <f t="shared" si="5"/>
        <v>1</v>
      </c>
    </row>
    <row r="32" spans="1:29" ht="27">
      <c r="A32" s="419"/>
      <c r="B32" s="1367" t="s">
        <v>2679</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209"/>
      <c r="Q32" s="1793" t="str">
        <f t="shared" si="8"/>
        <v>毗邻道路的类型与等级</v>
      </c>
      <c r="R32" s="757" t="s">
        <v>17</v>
      </c>
      <c r="S32" s="758">
        <f t="shared" si="10"/>
        <v>100</v>
      </c>
      <c r="T32" s="757" t="s">
        <v>17</v>
      </c>
      <c r="U32" s="758">
        <f t="shared" si="11"/>
        <v>100</v>
      </c>
      <c r="V32" s="757" t="s">
        <v>17</v>
      </c>
      <c r="W32" s="758">
        <f t="shared" si="12"/>
        <v>100</v>
      </c>
      <c r="X32" s="1796"/>
      <c r="Y32" s="3209"/>
      <c r="Z32" s="1797" t="str">
        <f t="shared" si="13"/>
        <v>毗邻道路的类型与等级</v>
      </c>
      <c r="AA32" s="1794">
        <f t="shared" si="3"/>
        <v>1</v>
      </c>
      <c r="AB32" s="1794">
        <f t="shared" si="4"/>
        <v>1</v>
      </c>
      <c r="AC32" s="1794">
        <f t="shared" si="5"/>
        <v>1</v>
      </c>
    </row>
    <row r="33" spans="1:29" ht="15">
      <c r="A33" s="419"/>
      <c r="B33" s="447"/>
      <c r="C33" s="438"/>
      <c r="D33" s="439"/>
      <c r="E33" s="2594"/>
      <c r="F33" s="439"/>
      <c r="G33" s="2594"/>
      <c r="H33" s="439"/>
      <c r="I33" s="438"/>
      <c r="J33" s="439"/>
      <c r="K33" s="604"/>
      <c r="L33" s="1123"/>
      <c r="M33" s="1114"/>
      <c r="N33" s="1114"/>
      <c r="O33" s="1122"/>
      <c r="P33" s="3209"/>
      <c r="Q33" s="1793"/>
      <c r="R33" s="757"/>
      <c r="S33" s="758"/>
      <c r="T33" s="757"/>
      <c r="U33" s="758"/>
      <c r="V33" s="757"/>
      <c r="W33" s="758"/>
      <c r="X33" s="1796"/>
      <c r="Y33" s="3209"/>
      <c r="Z33" s="1797"/>
      <c r="AA33" s="1794">
        <v>1</v>
      </c>
      <c r="AB33" s="1794">
        <v>1</v>
      </c>
      <c r="AC33" s="1794">
        <v>1</v>
      </c>
    </row>
    <row r="34" spans="1:29" ht="15">
      <c r="A34" s="419"/>
      <c r="B34" s="413" t="s">
        <v>2738</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209"/>
      <c r="Q34" s="1793" t="str">
        <f t="shared" si="8"/>
        <v>土地级别</v>
      </c>
      <c r="R34" s="757" t="s">
        <v>17</v>
      </c>
      <c r="S34" s="758">
        <f t="shared" si="10"/>
        <v>100</v>
      </c>
      <c r="T34" s="757" t="s">
        <v>17</v>
      </c>
      <c r="U34" s="758">
        <f t="shared" si="11"/>
        <v>100</v>
      </c>
      <c r="V34" s="757" t="s">
        <v>17</v>
      </c>
      <c r="W34" s="758">
        <f t="shared" si="12"/>
        <v>100</v>
      </c>
      <c r="X34" s="1796"/>
      <c r="Y34" s="3209"/>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209"/>
      <c r="Q35" s="1793">
        <f t="shared" si="8"/>
        <v>111</v>
      </c>
      <c r="R35" s="757" t="s">
        <v>17</v>
      </c>
      <c r="S35" s="758">
        <f t="shared" si="10"/>
        <v>100</v>
      </c>
      <c r="T35" s="757" t="s">
        <v>17</v>
      </c>
      <c r="U35" s="758">
        <f t="shared" si="11"/>
        <v>100</v>
      </c>
      <c r="V35" s="757" t="s">
        <v>17</v>
      </c>
      <c r="W35" s="758">
        <f t="shared" si="12"/>
        <v>100</v>
      </c>
      <c r="X35" s="1796"/>
      <c r="Y35" s="3209"/>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88" t="s">
        <v>2553</v>
      </c>
      <c r="Q36" s="1793">
        <f t="shared" si="8"/>
        <v>111</v>
      </c>
      <c r="R36" s="757" t="s">
        <v>17</v>
      </c>
      <c r="S36" s="758">
        <f t="shared" si="10"/>
        <v>100</v>
      </c>
      <c r="T36" s="757" t="s">
        <v>17</v>
      </c>
      <c r="U36" s="758">
        <f t="shared" si="11"/>
        <v>100</v>
      </c>
      <c r="V36" s="757" t="s">
        <v>17</v>
      </c>
      <c r="W36" s="758">
        <f t="shared" si="12"/>
        <v>100</v>
      </c>
      <c r="X36" s="1796"/>
      <c r="Y36" s="3213" t="s">
        <v>2553</v>
      </c>
      <c r="Z36" s="1797">
        <f t="shared" si="13"/>
        <v>111</v>
      </c>
      <c r="AA36" s="1794">
        <f t="shared" si="3"/>
        <v>1</v>
      </c>
      <c r="AB36" s="1794">
        <f t="shared" si="4"/>
        <v>1</v>
      </c>
      <c r="AC36" s="1794">
        <f t="shared" si="5"/>
        <v>1</v>
      </c>
    </row>
    <row r="37" spans="1:29" s="462" customFormat="1" ht="15.75"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213"/>
      <c r="Q37" s="1793">
        <f t="shared" si="8"/>
        <v>111</v>
      </c>
      <c r="R37" s="760" t="s">
        <v>17</v>
      </c>
      <c r="S37" s="761">
        <f t="shared" si="10"/>
        <v>100</v>
      </c>
      <c r="T37" s="760" t="s">
        <v>17</v>
      </c>
      <c r="U37" s="761">
        <f t="shared" si="11"/>
        <v>100</v>
      </c>
      <c r="V37" s="760" t="s">
        <v>17</v>
      </c>
      <c r="W37" s="761">
        <f t="shared" si="12"/>
        <v>100</v>
      </c>
      <c r="X37" s="762"/>
      <c r="Y37" s="3213"/>
      <c r="Z37" s="763">
        <f t="shared" si="13"/>
        <v>111</v>
      </c>
      <c r="AA37" s="1794">
        <f t="shared" si="3"/>
        <v>1</v>
      </c>
      <c r="AB37" s="1794">
        <f t="shared" si="4"/>
        <v>1</v>
      </c>
      <c r="AC37" s="1794">
        <f t="shared" si="5"/>
        <v>1</v>
      </c>
    </row>
    <row r="38" spans="1:29" ht="15">
      <c r="A38" s="463" t="s">
        <v>2551</v>
      </c>
      <c r="B38" s="447" t="s">
        <v>2739</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213"/>
      <c r="Q38" s="1793" t="str">
        <f>B38</f>
        <v>宗地面积</v>
      </c>
      <c r="R38" s="757" t="s">
        <v>17</v>
      </c>
      <c r="S38" s="758" t="e">
        <f t="shared" si="10"/>
        <v>#N/A</v>
      </c>
      <c r="T38" s="757" t="s">
        <v>17</v>
      </c>
      <c r="U38" s="758" t="e">
        <f t="shared" si="11"/>
        <v>#N/A</v>
      </c>
      <c r="V38" s="757" t="s">
        <v>17</v>
      </c>
      <c r="W38" s="758" t="e">
        <f t="shared" si="12"/>
        <v>#N/A</v>
      </c>
      <c r="X38" s="1796"/>
      <c r="Y38" s="3213"/>
      <c r="Z38" s="1797" t="str">
        <f t="shared" si="13"/>
        <v>宗地面积</v>
      </c>
      <c r="AA38" s="1794" t="e">
        <f t="shared" si="3"/>
        <v>#N/A</v>
      </c>
      <c r="AB38" s="1794" t="e">
        <f t="shared" si="4"/>
        <v>#N/A</v>
      </c>
      <c r="AC38" s="1794" t="e">
        <f t="shared" si="5"/>
        <v>#N/A</v>
      </c>
    </row>
    <row r="39" spans="1:29" ht="15">
      <c r="A39" s="463"/>
      <c r="B39" s="413" t="s">
        <v>2740</v>
      </c>
      <c r="C39" s="2596"/>
      <c r="D39" s="426">
        <v>100</v>
      </c>
      <c r="E39" s="2596"/>
      <c r="F39" s="426">
        <f>SUMIF(119:119,E39,120:120)-SUMIF(119:119,C39,120:120)+100</f>
        <v>100</v>
      </c>
      <c r="G39" s="2596"/>
      <c r="H39" s="426">
        <f>SUMIF(119:119,G39,120:120)-SUMIF(119:119,C39,120:120)+100</f>
        <v>100</v>
      </c>
      <c r="I39" s="2596"/>
      <c r="J39" s="426">
        <f>SUMIF(119:119,I39,120:120)-SUMIF(119:119,C39,120:120)+100</f>
        <v>100</v>
      </c>
      <c r="K39" s="603"/>
      <c r="L39" s="1123"/>
      <c r="M39" s="1114"/>
      <c r="N39" s="1114"/>
      <c r="O39" s="1122"/>
      <c r="P39" s="3213"/>
      <c r="Q39" s="1793" t="str">
        <f t="shared" ref="Q39:Q45" si="14">B39</f>
        <v>宗地形状</v>
      </c>
      <c r="R39" s="757" t="s">
        <v>17</v>
      </c>
      <c r="S39" s="758">
        <f t="shared" si="10"/>
        <v>100</v>
      </c>
      <c r="T39" s="757" t="s">
        <v>17</v>
      </c>
      <c r="U39" s="758">
        <f t="shared" si="11"/>
        <v>100</v>
      </c>
      <c r="V39" s="757" t="s">
        <v>17</v>
      </c>
      <c r="W39" s="758">
        <f t="shared" si="12"/>
        <v>100</v>
      </c>
      <c r="X39" s="1796"/>
      <c r="Y39" s="3213"/>
      <c r="Z39" s="1797" t="str">
        <f t="shared" si="13"/>
        <v>宗地形状</v>
      </c>
      <c r="AA39" s="1794">
        <f t="shared" si="3"/>
        <v>1</v>
      </c>
      <c r="AB39" s="1794">
        <f t="shared" si="4"/>
        <v>1</v>
      </c>
      <c r="AC39" s="1794">
        <f t="shared" si="5"/>
        <v>1</v>
      </c>
    </row>
    <row r="40" spans="1:29" ht="15">
      <c r="A40" s="463"/>
      <c r="B40" s="413" t="s">
        <v>2741</v>
      </c>
      <c r="C40" s="2596"/>
      <c r="D40" s="426">
        <v>100</v>
      </c>
      <c r="E40" s="2596"/>
      <c r="F40" s="426">
        <f>SUMIF(121:121,E40,122:122)-SUMIF(121:121,C40,122:122)+100</f>
        <v>100</v>
      </c>
      <c r="G40" s="2596"/>
      <c r="H40" s="426">
        <f>SUMIF(121:121,G40,122:122)-SUMIF(121:121,C40,122:122)+100</f>
        <v>100</v>
      </c>
      <c r="I40" s="2596"/>
      <c r="J40" s="426">
        <f>SUMIF(121:121,I40,122:122)-SUMIF(121:121,C40,122:122)+100</f>
        <v>100</v>
      </c>
      <c r="K40" s="603"/>
      <c r="L40" s="1123"/>
      <c r="M40" s="1114"/>
      <c r="N40" s="1114"/>
      <c r="O40" s="1122"/>
      <c r="P40" s="3213"/>
      <c r="Q40" s="1793" t="str">
        <f t="shared" si="14"/>
        <v>临街宽度及深度</v>
      </c>
      <c r="R40" s="757" t="s">
        <v>17</v>
      </c>
      <c r="S40" s="758">
        <f t="shared" si="10"/>
        <v>100</v>
      </c>
      <c r="T40" s="757" t="s">
        <v>17</v>
      </c>
      <c r="U40" s="758">
        <f t="shared" si="11"/>
        <v>100</v>
      </c>
      <c r="V40" s="757" t="s">
        <v>17</v>
      </c>
      <c r="W40" s="758">
        <f t="shared" si="12"/>
        <v>100</v>
      </c>
      <c r="X40" s="1796"/>
      <c r="Y40" s="3213"/>
      <c r="Z40" s="1797" t="str">
        <f t="shared" si="13"/>
        <v>临街宽度及深度</v>
      </c>
      <c r="AA40" s="1794">
        <f t="shared" si="3"/>
        <v>1</v>
      </c>
      <c r="AB40" s="1794">
        <f t="shared" si="4"/>
        <v>1</v>
      </c>
      <c r="AC40" s="1794">
        <f t="shared" si="5"/>
        <v>1</v>
      </c>
    </row>
    <row r="41" spans="1:29" s="113" customFormat="1" ht="15">
      <c r="A41" s="464"/>
      <c r="B41" s="413" t="s">
        <v>2742</v>
      </c>
      <c r="C41" s="2685"/>
      <c r="D41" s="127">
        <v>100</v>
      </c>
      <c r="E41" s="2685"/>
      <c r="F41" s="426">
        <f>SUMIF(123:123,E41,124:124)-SUMIF(123:123,C41,124:124)+100</f>
        <v>100</v>
      </c>
      <c r="G41" s="2685"/>
      <c r="H41" s="426">
        <f>SUMIF(123:123,G41,124:124)-SUMIF(123:123,C41,124:124)+100</f>
        <v>100</v>
      </c>
      <c r="I41" s="2685"/>
      <c r="J41" s="426">
        <f>SUMIF(123:123,I41,124:124)-SUMIF(123:123,C41,124:124)+100</f>
        <v>100</v>
      </c>
      <c r="K41" s="603"/>
      <c r="L41" s="1115"/>
      <c r="M41" s="1116"/>
      <c r="N41" s="1116"/>
      <c r="O41" s="1117"/>
      <c r="P41" s="3213"/>
      <c r="Q41" s="1793" t="str">
        <f t="shared" si="14"/>
        <v>宗地开发程度</v>
      </c>
      <c r="R41" s="753" t="s">
        <v>17</v>
      </c>
      <c r="S41" s="754">
        <f t="shared" si="10"/>
        <v>100</v>
      </c>
      <c r="T41" s="753" t="s">
        <v>17</v>
      </c>
      <c r="U41" s="754">
        <f t="shared" si="11"/>
        <v>100</v>
      </c>
      <c r="V41" s="753" t="s">
        <v>17</v>
      </c>
      <c r="W41" s="754">
        <f t="shared" si="12"/>
        <v>100</v>
      </c>
      <c r="X41" s="755"/>
      <c r="Y41" s="3213"/>
      <c r="Z41" s="55" t="str">
        <f t="shared" si="13"/>
        <v>宗地开发程度</v>
      </c>
      <c r="AA41" s="756">
        <f t="shared" si="3"/>
        <v>1</v>
      </c>
      <c r="AB41" s="756">
        <f t="shared" si="4"/>
        <v>1</v>
      </c>
      <c r="AC41" s="756">
        <f t="shared" si="5"/>
        <v>1</v>
      </c>
    </row>
    <row r="42" spans="1:29" ht="15">
      <c r="A42" s="463"/>
      <c r="B42" s="413" t="s">
        <v>2743</v>
      </c>
      <c r="C42" s="2596"/>
      <c r="D42" s="426">
        <v>100</v>
      </c>
      <c r="E42" s="2596"/>
      <c r="F42" s="426">
        <f>SUMIF(125:125,E42,126:126)-SUMIF(125:125,C42,126:126)+100</f>
        <v>100</v>
      </c>
      <c r="G42" s="2596"/>
      <c r="H42" s="426">
        <f>SUMIF(125:125,G42,126:126)-SUMIF(125:125,C42,126:126)+100</f>
        <v>100</v>
      </c>
      <c r="I42" s="2596"/>
      <c r="J42" s="426">
        <f>SUMIF(125:125,I42,126:126)-SUMIF(125:125,C42,126:126)+100</f>
        <v>100</v>
      </c>
      <c r="K42" s="603"/>
      <c r="L42" s="1123"/>
      <c r="M42" s="1114"/>
      <c r="N42" s="1114"/>
      <c r="O42" s="1122"/>
      <c r="P42" s="3213" t="s">
        <v>2553</v>
      </c>
      <c r="Q42" s="1793" t="str">
        <f t="shared" si="14"/>
        <v>工程地质条件</v>
      </c>
      <c r="R42" s="757" t="s">
        <v>17</v>
      </c>
      <c r="S42" s="758">
        <f t="shared" si="10"/>
        <v>100</v>
      </c>
      <c r="T42" s="757" t="s">
        <v>17</v>
      </c>
      <c r="U42" s="758">
        <f t="shared" si="11"/>
        <v>100</v>
      </c>
      <c r="V42" s="757" t="s">
        <v>17</v>
      </c>
      <c r="W42" s="758">
        <f t="shared" si="12"/>
        <v>100</v>
      </c>
      <c r="X42" s="1796"/>
      <c r="Y42" s="3213" t="s">
        <v>2553</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213"/>
      <c r="Q43" s="1793">
        <f t="shared" si="14"/>
        <v>111</v>
      </c>
      <c r="R43" s="757" t="s">
        <v>17</v>
      </c>
      <c r="S43" s="758">
        <f t="shared" si="10"/>
        <v>100</v>
      </c>
      <c r="T43" s="757" t="s">
        <v>17</v>
      </c>
      <c r="U43" s="758">
        <f t="shared" si="11"/>
        <v>100</v>
      </c>
      <c r="V43" s="757" t="s">
        <v>17</v>
      </c>
      <c r="W43" s="758">
        <f t="shared" si="12"/>
        <v>100</v>
      </c>
      <c r="X43" s="1796"/>
      <c r="Y43" s="3213"/>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213"/>
      <c r="Q44" s="1793">
        <f t="shared" si="14"/>
        <v>111</v>
      </c>
      <c r="R44" s="757" t="s">
        <v>17</v>
      </c>
      <c r="S44" s="758">
        <f t="shared" si="10"/>
        <v>100</v>
      </c>
      <c r="T44" s="757" t="s">
        <v>17</v>
      </c>
      <c r="U44" s="758">
        <f t="shared" si="11"/>
        <v>100</v>
      </c>
      <c r="V44" s="757" t="s">
        <v>17</v>
      </c>
      <c r="W44" s="758">
        <f t="shared" si="12"/>
        <v>100</v>
      </c>
      <c r="X44" s="1796"/>
      <c r="Y44" s="3213"/>
      <c r="Z44" s="1797">
        <f t="shared" si="13"/>
        <v>111</v>
      </c>
      <c r="AA44" s="1794">
        <f t="shared" si="3"/>
        <v>1</v>
      </c>
      <c r="AB44" s="1794">
        <f t="shared" si="4"/>
        <v>1</v>
      </c>
      <c r="AC44" s="1794">
        <f t="shared" si="5"/>
        <v>1</v>
      </c>
    </row>
    <row r="45" spans="1:29" s="462" customFormat="1" ht="15.75" thickBot="1">
      <c r="A45" s="459"/>
      <c r="B45" s="1370">
        <v>111</v>
      </c>
      <c r="C45" s="2686"/>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213"/>
      <c r="Q45" s="1793">
        <f t="shared" si="14"/>
        <v>111</v>
      </c>
      <c r="R45" s="760" t="s">
        <v>17</v>
      </c>
      <c r="S45" s="761">
        <f t="shared" si="10"/>
        <v>100</v>
      </c>
      <c r="T45" s="760" t="s">
        <v>17</v>
      </c>
      <c r="U45" s="761">
        <f t="shared" si="11"/>
        <v>100</v>
      </c>
      <c r="V45" s="760" t="s">
        <v>17</v>
      </c>
      <c r="W45" s="761">
        <f t="shared" si="12"/>
        <v>100</v>
      </c>
      <c r="X45" s="762"/>
      <c r="Y45" s="3213"/>
      <c r="Z45" s="763">
        <f t="shared" si="13"/>
        <v>111</v>
      </c>
      <c r="AA45" s="1794">
        <f t="shared" si="3"/>
        <v>1</v>
      </c>
      <c r="AB45" s="1794">
        <f t="shared" si="4"/>
        <v>1</v>
      </c>
      <c r="AC45" s="1794">
        <f t="shared" si="5"/>
        <v>1</v>
      </c>
    </row>
    <row r="46" spans="1:29" ht="15">
      <c r="A46" s="470" t="s">
        <v>2708</v>
      </c>
      <c r="B46" s="2687" t="s">
        <v>2744</v>
      </c>
      <c r="C46" s="671" t="s">
        <v>1</v>
      </c>
      <c r="D46" s="472"/>
      <c r="E46" s="473"/>
      <c r="F46" s="474"/>
      <c r="G46" s="475"/>
      <c r="H46" s="476"/>
      <c r="I46" s="473"/>
      <c r="J46" s="476"/>
      <c r="K46" s="766"/>
      <c r="L46" s="1126"/>
      <c r="M46" s="1127"/>
      <c r="N46" s="1114"/>
      <c r="O46" s="1127"/>
      <c r="P46" s="3201" t="str">
        <f>A46</f>
        <v>成交单价</v>
      </c>
      <c r="Q46" s="3201"/>
      <c r="R46" s="3215">
        <f>E46</f>
        <v>0</v>
      </c>
      <c r="S46" s="3215"/>
      <c r="T46" s="3215">
        <f>G46</f>
        <v>0</v>
      </c>
      <c r="U46" s="3215"/>
      <c r="V46" s="3215">
        <f>I46</f>
        <v>0</v>
      </c>
      <c r="W46" s="3215"/>
      <c r="X46" s="742"/>
      <c r="Y46" s="764"/>
      <c r="Z46" s="742"/>
      <c r="AA46" s="742"/>
      <c r="AB46" s="742"/>
      <c r="AC46" s="742"/>
    </row>
    <row r="47" spans="1:29" ht="15.75" thickBot="1">
      <c r="A47" s="477" t="s">
        <v>2657</v>
      </c>
      <c r="B47" s="672"/>
      <c r="C47" s="481" t="e">
        <f>R48</f>
        <v>#DIV/0!</v>
      </c>
      <c r="D47" s="480"/>
      <c r="E47" s="481" t="e">
        <f>R47</f>
        <v>#DIV/0!</v>
      </c>
      <c r="F47" s="482"/>
      <c r="G47" s="479" t="e">
        <f>T47</f>
        <v>#DIV/0!</v>
      </c>
      <c r="H47" s="480"/>
      <c r="I47" s="481" t="e">
        <f>V47</f>
        <v>#DIV/0!</v>
      </c>
      <c r="J47" s="480"/>
      <c r="K47" s="767"/>
      <c r="L47" s="1126"/>
      <c r="M47" s="1127"/>
      <c r="N47" s="1127"/>
      <c r="O47" s="1127"/>
      <c r="P47" s="3201" t="str">
        <f>A47</f>
        <v>比较价值（元/平方米）</v>
      </c>
      <c r="Q47" s="3201"/>
      <c r="R47" s="3289" t="e">
        <f>ROUND(PRODUCT(R46,AA7:AA45),0)</f>
        <v>#DIV/0!</v>
      </c>
      <c r="S47" s="3289"/>
      <c r="T47" s="3289" t="e">
        <f>ROUND(PRODUCT(T46,AB7:AB45),0)</f>
        <v>#DIV/0!</v>
      </c>
      <c r="U47" s="3289"/>
      <c r="V47" s="3289" t="e">
        <f>ROUND(PRODUCT(V46,AC7:AC45),0)</f>
        <v>#DIV/0!</v>
      </c>
      <c r="W47" s="3289"/>
      <c r="X47" s="742"/>
      <c r="Y47" s="742"/>
      <c r="Z47" s="742"/>
      <c r="AA47" s="742"/>
      <c r="AB47" s="742"/>
      <c r="AC47" s="742"/>
    </row>
    <row r="48" spans="1:29" ht="15.75" thickBot="1">
      <c r="A48" s="483" t="s">
        <v>2745</v>
      </c>
      <c r="B48" s="484"/>
      <c r="C48" s="485" t="e">
        <f>R48</f>
        <v>#DIV/0!</v>
      </c>
      <c r="D48" s="485"/>
      <c r="E48" s="485"/>
      <c r="F48" s="485"/>
      <c r="G48" s="485"/>
      <c r="H48" s="485"/>
      <c r="I48" s="485"/>
      <c r="J48" s="485"/>
      <c r="K48" s="768"/>
      <c r="L48" s="1126"/>
      <c r="M48" s="1127"/>
      <c r="N48" s="1127"/>
      <c r="O48" s="1127"/>
      <c r="P48" s="3203" t="str">
        <f>A48</f>
        <v>估价对象XX用房的比较价值（楼面单价，元/平方米）</v>
      </c>
      <c r="Q48" s="3204"/>
      <c r="R48" s="3290" t="e">
        <f>ROUND(AVERAGE(R47:V47),0)</f>
        <v>#DIV/0!</v>
      </c>
      <c r="S48" s="3290"/>
      <c r="T48" s="3290"/>
      <c r="U48" s="3290"/>
      <c r="V48" s="3290"/>
      <c r="W48" s="3290"/>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2659</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2660</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2661</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5" thickBot="1">
      <c r="A54" s="1128"/>
      <c r="B54" s="1129"/>
      <c r="C54" s="745"/>
      <c r="D54" s="743"/>
      <c r="E54" s="743"/>
      <c r="F54" s="743"/>
      <c r="G54" s="743"/>
      <c r="H54" s="743"/>
      <c r="I54" s="743"/>
      <c r="J54" s="743"/>
      <c r="K54" s="1131"/>
      <c r="L54" s="1132"/>
      <c r="M54" s="1128"/>
      <c r="N54" s="1128"/>
      <c r="O54" s="1128"/>
    </row>
    <row r="55" spans="1:15" ht="27" customHeight="1">
      <c r="A55" s="673" t="s">
        <v>2746</v>
      </c>
      <c r="B55" s="674" t="s">
        <v>2747</v>
      </c>
      <c r="C55" s="2688" t="s">
        <v>2748</v>
      </c>
      <c r="D55" s="2689" t="s">
        <v>2749</v>
      </c>
      <c r="E55" s="675" t="s">
        <v>2750</v>
      </c>
      <c r="F55" s="1090" t="s">
        <v>2751</v>
      </c>
      <c r="G55" s="3229" t="s">
        <v>2752</v>
      </c>
      <c r="H55" s="3291"/>
      <c r="I55" s="135" t="s">
        <v>2753</v>
      </c>
      <c r="J55" s="2690">
        <f>项目基本情况!F35</f>
        <v>0</v>
      </c>
      <c r="K55" s="2691" t="s">
        <v>2754</v>
      </c>
      <c r="L55" s="1089"/>
      <c r="M55" s="1127"/>
      <c r="N55" s="1127"/>
      <c r="O55" s="1127"/>
    </row>
    <row r="56" spans="1:15" s="681" customFormat="1">
      <c r="A56" s="677" t="s">
        <v>2755</v>
      </c>
      <c r="B56" s="678" t="e">
        <f>C48</f>
        <v>#DIV/0!</v>
      </c>
      <c r="C56" s="679">
        <v>1</v>
      </c>
      <c r="D56" s="1146">
        <v>1</v>
      </c>
      <c r="E56" s="679">
        <f>'数据-汇总表'!E8+'数据-汇总表'!E9</f>
        <v>1266.6499999999999</v>
      </c>
      <c r="F56" s="1086" t="e">
        <f t="shared" ref="F56:F65" si="15">ROUND(B56*E56/10000,0)</f>
        <v>#DIV/0!</v>
      </c>
      <c r="G56" s="3218"/>
      <c r="H56" s="3201"/>
      <c r="I56" s="1091">
        <v>1</v>
      </c>
      <c r="J56" s="1094">
        <v>1</v>
      </c>
      <c r="K56" s="1128"/>
      <c r="L56" s="924"/>
      <c r="M56" s="924"/>
      <c r="N56" s="924"/>
      <c r="O56" s="924"/>
    </row>
    <row r="57" spans="1:15" s="681" customFormat="1">
      <c r="A57" s="682" t="s">
        <v>2756</v>
      </c>
      <c r="B57" s="253" t="e">
        <f>ROUND($C$48*C57*D57,0)</f>
        <v>#DIV/0!</v>
      </c>
      <c r="C57" s="191">
        <f t="shared" ref="C57:C65" si="16">IF($C$55="北京市系数",I57,J57)</f>
        <v>0</v>
      </c>
      <c r="D57" s="1147">
        <v>0.25</v>
      </c>
      <c r="E57" s="683"/>
      <c r="F57" s="1086" t="e">
        <f t="shared" si="15"/>
        <v>#DIV/0!</v>
      </c>
      <c r="G57" s="3292" t="s">
        <v>2757</v>
      </c>
      <c r="H57" s="1087">
        <f>项目基本情况!B37</f>
        <v>0</v>
      </c>
      <c r="I57" s="1091">
        <f>SUMIF(修正!A45:A56,H57,修正!B45:B56)</f>
        <v>0</v>
      </c>
      <c r="J57" s="1095"/>
      <c r="K57" s="1127"/>
      <c r="L57" s="924"/>
      <c r="M57" s="924"/>
      <c r="N57" s="924"/>
      <c r="O57" s="924"/>
    </row>
    <row r="58" spans="1:15" s="681" customFormat="1">
      <c r="A58" s="682" t="s">
        <v>2758</v>
      </c>
      <c r="B58" s="253" t="e">
        <f t="shared" ref="B58:B65" si="17">ROUND($C$48*C58*D58,0)</f>
        <v>#DIV/0!</v>
      </c>
      <c r="C58" s="191">
        <f t="shared" si="16"/>
        <v>0</v>
      </c>
      <c r="D58" s="1147">
        <v>0.25</v>
      </c>
      <c r="E58" s="683"/>
      <c r="F58" s="1086" t="e">
        <f t="shared" si="15"/>
        <v>#DIV/0!</v>
      </c>
      <c r="G58" s="3292"/>
      <c r="H58" s="1087">
        <f>项目基本情况!B37</f>
        <v>0</v>
      </c>
      <c r="I58" s="1091">
        <f>SUMIF(修正!A45:A56,H58,修正!C45:C56)</f>
        <v>0</v>
      </c>
      <c r="J58" s="1095"/>
      <c r="K58" s="1128"/>
      <c r="L58" s="924"/>
      <c r="M58" s="924"/>
      <c r="N58" s="924"/>
      <c r="O58" s="924"/>
    </row>
    <row r="59" spans="1:15" s="681" customFormat="1">
      <c r="A59" s="682" t="s">
        <v>2759</v>
      </c>
      <c r="B59" s="253" t="e">
        <f t="shared" si="17"/>
        <v>#DIV/0!</v>
      </c>
      <c r="C59" s="191">
        <f t="shared" si="16"/>
        <v>0</v>
      </c>
      <c r="D59" s="1147">
        <v>0.25</v>
      </c>
      <c r="E59" s="683"/>
      <c r="F59" s="1086" t="e">
        <f t="shared" si="15"/>
        <v>#DIV/0!</v>
      </c>
      <c r="G59" s="3292"/>
      <c r="H59" s="1087">
        <f>项目基本情况!B37</f>
        <v>0</v>
      </c>
      <c r="I59" s="1091">
        <f>SUMIF(修正!A45:A56,H59,修正!D45:D56)</f>
        <v>0</v>
      </c>
      <c r="J59" s="1095"/>
      <c r="K59" s="1127"/>
      <c r="L59" s="924"/>
      <c r="M59" s="924"/>
      <c r="N59" s="924"/>
      <c r="O59" s="924"/>
    </row>
    <row r="60" spans="1:15" s="681" customFormat="1">
      <c r="A60" s="682" t="s">
        <v>2760</v>
      </c>
      <c r="B60" s="253" t="e">
        <f t="shared" si="17"/>
        <v>#DIV/0!</v>
      </c>
      <c r="C60" s="191">
        <f t="shared" si="16"/>
        <v>0</v>
      </c>
      <c r="D60" s="1147">
        <v>0.25</v>
      </c>
      <c r="E60" s="683"/>
      <c r="F60" s="1086" t="e">
        <f t="shared" si="15"/>
        <v>#DIV/0!</v>
      </c>
      <c r="G60" s="3292"/>
      <c r="H60" s="1087">
        <f>项目基本情况!B37</f>
        <v>0</v>
      </c>
      <c r="I60" s="1091">
        <f>SUMIF(修正!A45:A56,H60,修正!E45:E56)</f>
        <v>0</v>
      </c>
      <c r="J60" s="1095"/>
      <c r="K60" s="1128"/>
      <c r="L60" s="924"/>
      <c r="M60" s="924"/>
      <c r="N60" s="924"/>
      <c r="O60" s="924"/>
    </row>
    <row r="61" spans="1:15" s="681" customFormat="1">
      <c r="A61" s="682" t="s">
        <v>2761</v>
      </c>
      <c r="B61" s="253" t="e">
        <f t="shared" si="17"/>
        <v>#DIV/0!</v>
      </c>
      <c r="C61" s="191">
        <f t="shared" si="16"/>
        <v>0</v>
      </c>
      <c r="D61" s="1147">
        <v>0.25</v>
      </c>
      <c r="E61" s="252">
        <f>'数据-汇总表'!E11</f>
        <v>0</v>
      </c>
      <c r="F61" s="1086" t="e">
        <f t="shared" si="15"/>
        <v>#DIV/0!</v>
      </c>
      <c r="G61" s="2692" t="s">
        <v>2762</v>
      </c>
      <c r="H61" s="1087">
        <f>项目基本情况!C37</f>
        <v>0</v>
      </c>
      <c r="I61" s="1091">
        <f>SUMIF(修正!A45:A56,H61,修正!F45:F56)</f>
        <v>0</v>
      </c>
      <c r="J61" s="1095"/>
      <c r="K61" s="1127"/>
      <c r="L61" s="924"/>
      <c r="M61" s="924"/>
      <c r="N61" s="924"/>
      <c r="O61" s="924"/>
    </row>
    <row r="62" spans="1:15" s="681" customFormat="1">
      <c r="A62" s="682" t="s">
        <v>2763</v>
      </c>
      <c r="B62" s="253" t="e">
        <f t="shared" si="17"/>
        <v>#DIV/0!</v>
      </c>
      <c r="C62" s="191">
        <f t="shared" si="16"/>
        <v>0</v>
      </c>
      <c r="D62" s="1147">
        <v>0.25</v>
      </c>
      <c r="E62" s="252">
        <f>'数据-汇总表'!E12</f>
        <v>0</v>
      </c>
      <c r="F62" s="1086" t="e">
        <f t="shared" si="15"/>
        <v>#DIV/0!</v>
      </c>
      <c r="G62" s="1092" t="s">
        <v>2764</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2765</v>
      </c>
      <c r="B63" s="253" t="e">
        <f t="shared" si="17"/>
        <v>#DIV/0!</v>
      </c>
      <c r="C63" s="191">
        <f t="shared" si="16"/>
        <v>0</v>
      </c>
      <c r="D63" s="1147">
        <v>0.25</v>
      </c>
      <c r="E63" s="252">
        <f>'数据-汇总表'!E13</f>
        <v>0</v>
      </c>
      <c r="F63" s="1086" t="e">
        <f t="shared" si="15"/>
        <v>#DIV/0!</v>
      </c>
      <c r="G63" s="1092" t="s">
        <v>2766</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2767</v>
      </c>
      <c r="B64" s="253" t="e">
        <f t="shared" si="17"/>
        <v>#DIV/0!</v>
      </c>
      <c r="C64" s="191">
        <f t="shared" si="16"/>
        <v>0</v>
      </c>
      <c r="D64" s="1147">
        <v>0.25</v>
      </c>
      <c r="E64" s="252">
        <f>'数据-汇总表'!E14</f>
        <v>0</v>
      </c>
      <c r="F64" s="1086" t="e">
        <f t="shared" si="15"/>
        <v>#DIV/0!</v>
      </c>
      <c r="G64" s="2692" t="s">
        <v>2757</v>
      </c>
      <c r="H64" s="1087">
        <f>项目基本情况!B37</f>
        <v>0</v>
      </c>
      <c r="I64" s="1091">
        <f>SUMIF(修正!A45:A56,H64,修正!H45:H56)</f>
        <v>0</v>
      </c>
      <c r="J64" s="1095"/>
      <c r="K64" s="1128"/>
      <c r="L64" s="924"/>
      <c r="M64" s="924"/>
      <c r="N64" s="924"/>
      <c r="O64" s="924"/>
    </row>
    <row r="65" spans="1:17" s="681" customFormat="1" ht="15" thickBot="1">
      <c r="A65" s="682" t="s">
        <v>2768</v>
      </c>
      <c r="B65" s="253" t="e">
        <f t="shared" si="17"/>
        <v>#DIV/0!</v>
      </c>
      <c r="C65" s="191">
        <f t="shared" si="16"/>
        <v>0</v>
      </c>
      <c r="D65" s="1147">
        <v>0.25</v>
      </c>
      <c r="E65" s="252">
        <f>'数据-汇总表'!E15</f>
        <v>0</v>
      </c>
      <c r="F65" s="1086" t="e">
        <f t="shared" si="15"/>
        <v>#DIV/0!</v>
      </c>
      <c r="G65" s="2693" t="s">
        <v>2762</v>
      </c>
      <c r="H65" s="1097">
        <f>项目基本情况!C37</f>
        <v>0</v>
      </c>
      <c r="I65" s="1093">
        <f>SUMIF(修正!A45:A56,H65,修正!H45:H56)</f>
        <v>0</v>
      </c>
      <c r="J65" s="1096"/>
      <c r="K65" s="1127"/>
      <c r="L65" s="924"/>
      <c r="M65" s="924"/>
      <c r="N65" s="924"/>
      <c r="O65" s="924"/>
    </row>
    <row r="66" spans="1:17" s="681" customFormat="1" ht="13.5" thickBot="1">
      <c r="A66" s="684" t="s">
        <v>2769</v>
      </c>
      <c r="B66" s="685" t="s">
        <v>28</v>
      </c>
      <c r="C66" s="685" t="s">
        <v>29</v>
      </c>
      <c r="D66" s="685" t="s">
        <v>1025</v>
      </c>
      <c r="E66" s="685">
        <f>IF(B46="楼面地价",SUM(E56:E65),'数据-汇总表'!D3)</f>
        <v>1266.6499999999999</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1.75" thickBot="1">
      <c r="A69" s="746" t="s">
        <v>2662</v>
      </c>
      <c r="B69" s="742"/>
      <c r="C69" s="747"/>
      <c r="D69" s="747"/>
      <c r="E69" s="747"/>
      <c r="F69" s="748"/>
      <c r="G69" s="748"/>
      <c r="H69" s="747"/>
      <c r="I69" s="747"/>
      <c r="J69" s="1142"/>
      <c r="K69" s="1143"/>
      <c r="L69" s="1144"/>
      <c r="M69" s="1142"/>
      <c r="N69" s="1142"/>
      <c r="O69" s="1142"/>
      <c r="P69" s="494"/>
      <c r="Q69" s="495"/>
    </row>
    <row r="70" spans="1:17" s="499" customFormat="1" ht="15">
      <c r="A70" s="2694" t="s">
        <v>2770</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5" t="s">
        <v>2771</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75" thickBot="1">
      <c r="A72" s="506" t="s">
        <v>2573</v>
      </c>
      <c r="B72" s="507"/>
      <c r="C72" s="508"/>
      <c r="D72" s="509"/>
      <c r="E72" s="509"/>
      <c r="F72" s="509"/>
      <c r="G72" s="509"/>
      <c r="H72" s="509"/>
      <c r="I72" s="509"/>
      <c r="J72" s="509"/>
      <c r="K72" s="509"/>
      <c r="L72" s="509"/>
      <c r="M72" s="510"/>
      <c r="N72" s="509"/>
      <c r="O72" s="1145"/>
      <c r="P72" s="495"/>
      <c r="Q72" s="495"/>
    </row>
    <row r="73" spans="1:17" s="113" customFormat="1" ht="15">
      <c r="A73" s="512" t="s">
        <v>2538</v>
      </c>
      <c r="B73" s="501"/>
      <c r="C73" s="513" t="s">
        <v>2640</v>
      </c>
      <c r="D73" s="514"/>
      <c r="E73" s="514"/>
      <c r="F73" s="514"/>
      <c r="G73" s="514"/>
      <c r="H73" s="514"/>
      <c r="I73" s="514"/>
      <c r="J73" s="514"/>
      <c r="K73" s="514"/>
      <c r="L73" s="515"/>
      <c r="M73" s="516"/>
      <c r="N73" s="1134"/>
      <c r="O73" s="1134"/>
      <c r="P73" s="517"/>
      <c r="Q73" s="495"/>
    </row>
    <row r="74" spans="1:17" s="113" customFormat="1" ht="15.75" thickBot="1">
      <c r="A74" s="512"/>
      <c r="B74" s="501"/>
      <c r="C74" s="628">
        <v>100</v>
      </c>
      <c r="D74" s="503"/>
      <c r="E74" s="503"/>
      <c r="F74" s="503"/>
      <c r="G74" s="503"/>
      <c r="H74" s="503"/>
      <c r="I74" s="503"/>
      <c r="J74" s="503"/>
      <c r="K74" s="503"/>
      <c r="L74" s="503"/>
      <c r="M74" s="505"/>
      <c r="N74" s="1134"/>
      <c r="O74" s="1134"/>
      <c r="P74" s="495"/>
      <c r="Q74" s="495"/>
    </row>
    <row r="75" spans="1:17">
      <c r="A75" s="518" t="s">
        <v>2576</v>
      </c>
      <c r="B75" s="519" t="s">
        <v>2542</v>
      </c>
      <c r="C75" s="521"/>
      <c r="D75" s="521"/>
      <c r="E75" s="521"/>
      <c r="F75" s="521"/>
      <c r="G75" s="521"/>
      <c r="H75" s="521"/>
      <c r="I75" s="521"/>
      <c r="J75" s="521"/>
      <c r="K75" s="522"/>
      <c r="L75" s="523"/>
      <c r="M75" s="524"/>
      <c r="N75" s="1135"/>
      <c r="O75" s="1135"/>
      <c r="P75" s="45"/>
      <c r="Q75" s="495"/>
    </row>
    <row r="76" spans="1:17" ht="15.75" thickBot="1">
      <c r="A76" s="525"/>
      <c r="B76" s="526"/>
      <c r="C76" s="527"/>
      <c r="D76" s="527"/>
      <c r="E76" s="527"/>
      <c r="F76" s="527"/>
      <c r="G76" s="527"/>
      <c r="H76" s="527"/>
      <c r="I76" s="527"/>
      <c r="J76" s="527"/>
      <c r="K76" s="527"/>
      <c r="L76" s="527"/>
      <c r="M76" s="528"/>
      <c r="N76" s="1136"/>
      <c r="O76" s="1136"/>
      <c r="P76" s="45"/>
      <c r="Q76" s="495"/>
    </row>
    <row r="77" spans="1:17" ht="27.75" thickTop="1">
      <c r="A77" s="525"/>
      <c r="B77" s="529" t="s">
        <v>2545</v>
      </c>
      <c r="C77" s="530"/>
      <c r="D77" s="530"/>
      <c r="E77" s="530"/>
      <c r="F77" s="530"/>
      <c r="G77" s="530"/>
      <c r="H77" s="530"/>
      <c r="I77" s="530"/>
      <c r="J77" s="530"/>
      <c r="K77" s="531"/>
      <c r="L77" s="532"/>
      <c r="M77" s="533"/>
      <c r="N77" s="1135"/>
      <c r="O77" s="1135"/>
      <c r="P77" s="45"/>
      <c r="Q77" s="495"/>
    </row>
    <row r="78" spans="1:17" ht="15.75" thickBot="1">
      <c r="A78" s="525"/>
      <c r="B78" s="534"/>
      <c r="C78" s="535"/>
      <c r="D78" s="535"/>
      <c r="E78" s="535"/>
      <c r="F78" s="535"/>
      <c r="G78" s="535"/>
      <c r="H78" s="535"/>
      <c r="I78" s="535"/>
      <c r="J78" s="535"/>
      <c r="K78" s="535"/>
      <c r="L78" s="535"/>
      <c r="M78" s="536"/>
      <c r="N78" s="1136"/>
      <c r="O78" s="1136"/>
      <c r="P78" s="45"/>
      <c r="Q78" s="495"/>
    </row>
    <row r="79" spans="1:17" ht="15.75" thickTop="1">
      <c r="A79" s="525"/>
      <c r="B79" s="537" t="s">
        <v>2546</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ht="15">
      <c r="A80" s="525"/>
      <c r="B80" s="539"/>
      <c r="C80" s="540"/>
      <c r="D80" s="540"/>
      <c r="E80" s="540"/>
      <c r="F80" s="540"/>
      <c r="G80" s="540"/>
      <c r="H80" s="540"/>
      <c r="I80" s="540"/>
      <c r="J80" s="540"/>
      <c r="K80" s="541"/>
      <c r="L80" s="542"/>
      <c r="M80" s="543"/>
      <c r="N80" s="1135"/>
      <c r="O80" s="1135"/>
      <c r="P80" s="45"/>
      <c r="Q80" s="495"/>
    </row>
    <row r="81" spans="1:17" ht="15.75"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5.75"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5.75" thickBot="1">
      <c r="A83" s="544"/>
      <c r="B83" s="534"/>
      <c r="C83" s="551"/>
      <c r="D83" s="527"/>
      <c r="E83" s="527"/>
      <c r="F83" s="527"/>
      <c r="G83" s="527"/>
      <c r="H83" s="527"/>
      <c r="I83" s="527"/>
      <c r="J83" s="527"/>
      <c r="K83" s="527"/>
      <c r="L83" s="527"/>
      <c r="M83" s="528"/>
      <c r="N83" s="1136"/>
      <c r="O83" s="1136"/>
      <c r="P83" s="549"/>
      <c r="Q83" s="550"/>
    </row>
    <row r="84" spans="1:17" s="462" customFormat="1" ht="15.75" thickTop="1">
      <c r="A84" s="544"/>
      <c r="B84" s="529">
        <f>B13</f>
        <v>111</v>
      </c>
      <c r="C84" s="545"/>
      <c r="D84" s="545"/>
      <c r="E84" s="545"/>
      <c r="F84" s="545"/>
      <c r="G84" s="545"/>
      <c r="H84" s="546"/>
      <c r="I84" s="546"/>
      <c r="J84" s="546"/>
      <c r="K84" s="546"/>
      <c r="L84" s="547"/>
      <c r="M84" s="548"/>
      <c r="N84" s="1137"/>
      <c r="O84" s="1137"/>
      <c r="P84" s="461"/>
      <c r="Q84" s="552"/>
    </row>
    <row r="85" spans="1:17" s="462" customFormat="1" ht="15.75" thickBot="1">
      <c r="A85" s="544"/>
      <c r="B85" s="534"/>
      <c r="C85" s="551"/>
      <c r="D85" s="551"/>
      <c r="E85" s="551"/>
      <c r="F85" s="551"/>
      <c r="G85" s="551"/>
      <c r="H85" s="553"/>
      <c r="I85" s="553"/>
      <c r="J85" s="553"/>
      <c r="K85" s="553"/>
      <c r="L85" s="553"/>
      <c r="M85" s="554"/>
      <c r="N85" s="1137"/>
      <c r="O85" s="1137"/>
      <c r="P85" s="549"/>
      <c r="Q85" s="550"/>
    </row>
    <row r="86" spans="1:17" s="462" customFormat="1" ht="15.75" thickTop="1">
      <c r="A86" s="544"/>
      <c r="B86" s="537">
        <f>B14</f>
        <v>111</v>
      </c>
      <c r="C86" s="514"/>
      <c r="D86" s="514"/>
      <c r="E86" s="514"/>
      <c r="F86" s="514"/>
      <c r="G86" s="514"/>
      <c r="H86" s="555"/>
      <c r="I86" s="555"/>
      <c r="J86" s="555"/>
      <c r="K86" s="555"/>
      <c r="L86" s="556"/>
      <c r="M86" s="557"/>
      <c r="N86" s="1137"/>
      <c r="O86" s="1137"/>
      <c r="P86" s="558"/>
      <c r="Q86" s="550"/>
    </row>
    <row r="87" spans="1:17" s="462" customFormat="1" ht="15.75" thickBot="1">
      <c r="A87" s="559"/>
      <c r="B87" s="560"/>
      <c r="C87" s="561"/>
      <c r="D87" s="561"/>
      <c r="E87" s="561"/>
      <c r="F87" s="561"/>
      <c r="G87" s="561"/>
      <c r="H87" s="562"/>
      <c r="I87" s="562"/>
      <c r="J87" s="562"/>
      <c r="K87" s="562"/>
      <c r="L87" s="562"/>
      <c r="M87" s="563"/>
      <c r="N87" s="1137"/>
      <c r="O87" s="1137"/>
      <c r="P87" s="549"/>
      <c r="Q87" s="550"/>
    </row>
    <row r="88" spans="1:17">
      <c r="A88" s="518" t="s">
        <v>2547</v>
      </c>
      <c r="B88" s="519" t="s">
        <v>2584</v>
      </c>
      <c r="C88" s="564" t="s">
        <v>2585</v>
      </c>
      <c r="D88" s="564" t="s">
        <v>2586</v>
      </c>
      <c r="E88" s="564" t="s">
        <v>2587</v>
      </c>
      <c r="F88" s="564" t="s">
        <v>2588</v>
      </c>
      <c r="G88" s="564" t="s">
        <v>2589</v>
      </c>
      <c r="H88" s="520"/>
      <c r="I88" s="520"/>
      <c r="J88" s="520"/>
      <c r="K88" s="565"/>
      <c r="L88" s="566"/>
      <c r="M88" s="567"/>
      <c r="N88" s="1135"/>
      <c r="O88" s="1135"/>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75" thickTop="1">
      <c r="A90" s="525"/>
      <c r="B90" s="529" t="s">
        <v>2772</v>
      </c>
      <c r="C90" s="569" t="s">
        <v>2585</v>
      </c>
      <c r="D90" s="569" t="s">
        <v>2586</v>
      </c>
      <c r="E90" s="569" t="s">
        <v>2587</v>
      </c>
      <c r="F90" s="569" t="s">
        <v>2588</v>
      </c>
      <c r="G90" s="569" t="s">
        <v>2589</v>
      </c>
      <c r="H90" s="530"/>
      <c r="I90" s="530"/>
      <c r="J90" s="530"/>
      <c r="K90" s="531"/>
      <c r="L90" s="532"/>
      <c r="M90" s="533"/>
      <c r="N90" s="1135"/>
      <c r="O90" s="1135"/>
      <c r="P90" s="45"/>
      <c r="Q90" s="495"/>
    </row>
    <row r="91" spans="1:17" ht="15.75"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75" thickTop="1">
      <c r="A92" s="525"/>
      <c r="B92" s="529" t="s">
        <v>2685</v>
      </c>
      <c r="C92" s="569" t="s">
        <v>2585</v>
      </c>
      <c r="D92" s="569" t="s">
        <v>2586</v>
      </c>
      <c r="E92" s="569" t="s">
        <v>2587</v>
      </c>
      <c r="F92" s="569" t="s">
        <v>2588</v>
      </c>
      <c r="G92" s="569" t="s">
        <v>2589</v>
      </c>
      <c r="H92" s="530"/>
      <c r="I92" s="530"/>
      <c r="J92" s="530"/>
      <c r="K92" s="531"/>
      <c r="L92" s="532"/>
      <c r="M92" s="533"/>
      <c r="N92" s="1135"/>
      <c r="O92" s="1135"/>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75" thickTop="1">
      <c r="A94" s="525"/>
      <c r="B94" s="529" t="s">
        <v>2590</v>
      </c>
      <c r="C94" s="569" t="s">
        <v>2585</v>
      </c>
      <c r="D94" s="569" t="s">
        <v>2586</v>
      </c>
      <c r="E94" s="569" t="s">
        <v>2587</v>
      </c>
      <c r="F94" s="569" t="s">
        <v>2588</v>
      </c>
      <c r="G94" s="569" t="s">
        <v>2589</v>
      </c>
      <c r="H94" s="530"/>
      <c r="I94" s="530"/>
      <c r="J94" s="530"/>
      <c r="K94" s="531"/>
      <c r="L94" s="532"/>
      <c r="M94" s="533"/>
      <c r="N94" s="1135"/>
      <c r="O94" s="1135"/>
      <c r="P94" s="45"/>
      <c r="Q94" s="495"/>
    </row>
    <row r="95" spans="1:17" ht="15.75"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15.75" thickTop="1">
      <c r="A96" s="570"/>
      <c r="B96" s="529" t="s">
        <v>2773</v>
      </c>
      <c r="C96" s="569" t="s">
        <v>2585</v>
      </c>
      <c r="D96" s="569" t="s">
        <v>2586</v>
      </c>
      <c r="E96" s="569" t="s">
        <v>2587</v>
      </c>
      <c r="F96" s="569" t="s">
        <v>2588</v>
      </c>
      <c r="G96" s="569" t="s">
        <v>2589</v>
      </c>
      <c r="H96" s="569"/>
      <c r="I96" s="569"/>
      <c r="J96" s="569"/>
      <c r="K96" s="569"/>
      <c r="L96" s="687"/>
      <c r="M96" s="611"/>
      <c r="N96" s="1134"/>
      <c r="O96" s="1134"/>
      <c r="P96" s="45"/>
      <c r="Q96" s="495"/>
    </row>
    <row r="97" spans="1:17" s="113" customFormat="1" ht="15.75"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7.75" thickTop="1">
      <c r="A98" s="570"/>
      <c r="B98" s="529" t="s">
        <v>2774</v>
      </c>
      <c r="C98" s="564" t="s">
        <v>2585</v>
      </c>
      <c r="D98" s="564" t="s">
        <v>2586</v>
      </c>
      <c r="E98" s="564" t="s">
        <v>2587</v>
      </c>
      <c r="F98" s="564" t="s">
        <v>2588</v>
      </c>
      <c r="G98" s="564" t="s">
        <v>2589</v>
      </c>
      <c r="H98" s="569"/>
      <c r="I98" s="569"/>
      <c r="J98" s="569"/>
      <c r="K98" s="569"/>
      <c r="L98" s="569"/>
      <c r="M98" s="611"/>
      <c r="N98" s="1134"/>
      <c r="O98" s="1134"/>
      <c r="P98" s="45"/>
      <c r="Q98" s="495"/>
    </row>
    <row r="99" spans="1:17" s="113" customFormat="1" ht="15.75"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75" thickTop="1">
      <c r="A100" s="544"/>
      <c r="B100" s="529" t="s">
        <v>2642</v>
      </c>
      <c r="C100" s="564" t="s">
        <v>2585</v>
      </c>
      <c r="D100" s="564" t="s">
        <v>2586</v>
      </c>
      <c r="E100" s="564" t="s">
        <v>2587</v>
      </c>
      <c r="F100" s="564" t="s">
        <v>2588</v>
      </c>
      <c r="G100" s="564" t="s">
        <v>2589</v>
      </c>
      <c r="H100" s="591"/>
      <c r="I100" s="591"/>
      <c r="J100" s="591"/>
      <c r="K100" s="591"/>
      <c r="L100" s="592"/>
      <c r="M100" s="593"/>
      <c r="N100" s="1137"/>
      <c r="O100" s="1137"/>
      <c r="P100" s="549"/>
      <c r="Q100" s="550"/>
    </row>
    <row r="101" spans="1:17" s="462" customFormat="1" ht="15.75"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75" thickTop="1">
      <c r="A102" s="544"/>
      <c r="B102" s="537" t="s">
        <v>2643</v>
      </c>
      <c r="C102" s="649" t="s">
        <v>2663</v>
      </c>
      <c r="D102" s="649" t="s">
        <v>2664</v>
      </c>
      <c r="E102" s="649" t="s">
        <v>2665</v>
      </c>
      <c r="F102" s="649" t="s">
        <v>2666</v>
      </c>
      <c r="G102" s="649" t="s">
        <v>2667</v>
      </c>
      <c r="H102" s="591"/>
      <c r="I102" s="591"/>
      <c r="J102" s="591"/>
      <c r="K102" s="591"/>
      <c r="L102" s="591"/>
      <c r="M102" s="1368"/>
      <c r="N102" s="1137"/>
      <c r="O102" s="1137"/>
      <c r="P102" s="549"/>
      <c r="Q102" s="550"/>
    </row>
    <row r="103" spans="1:17" s="462" customFormat="1" ht="15.75"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75" thickTop="1">
      <c r="A104" s="525"/>
      <c r="B104" s="529" t="str">
        <f>B31</f>
        <v>临街状况</v>
      </c>
      <c r="C104" s="530" t="s">
        <v>2775</v>
      </c>
      <c r="D104" s="530" t="s">
        <v>2776</v>
      </c>
      <c r="E104" s="530" t="s">
        <v>2777</v>
      </c>
      <c r="F104" s="530" t="s">
        <v>2778</v>
      </c>
      <c r="G104" s="530"/>
      <c r="H104" s="530"/>
      <c r="I104" s="530"/>
      <c r="J104" s="530"/>
      <c r="K104" s="531"/>
      <c r="L104" s="532"/>
      <c r="M104" s="533"/>
      <c r="N104" s="1135"/>
      <c r="O104" s="1135"/>
      <c r="P104" s="45"/>
      <c r="Q104" s="495"/>
    </row>
    <row r="105" spans="1:17" ht="15.75"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7.75" thickTop="1">
      <c r="A106" s="525"/>
      <c r="B106" s="529" t="s">
        <v>2679</v>
      </c>
      <c r="C106" s="545"/>
      <c r="D106" s="545"/>
      <c r="E106" s="545"/>
      <c r="F106" s="545"/>
      <c r="G106" s="545"/>
      <c r="H106" s="574"/>
      <c r="I106" s="574"/>
      <c r="J106" s="574"/>
      <c r="K106" s="575"/>
      <c r="L106" s="576"/>
      <c r="M106" s="577"/>
      <c r="N106" s="1135"/>
      <c r="O106" s="1135"/>
      <c r="P106" s="45"/>
      <c r="Q106" s="495"/>
    </row>
    <row r="107" spans="1:17" ht="15.75"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75" thickTop="1">
      <c r="A108" s="525"/>
      <c r="B108" s="529" t="s">
        <v>2738</v>
      </c>
      <c r="C108" s="574"/>
      <c r="D108" s="574"/>
      <c r="E108" s="574"/>
      <c r="F108" s="574"/>
      <c r="G108" s="574"/>
      <c r="H108" s="574"/>
      <c r="I108" s="574"/>
      <c r="J108" s="574"/>
      <c r="K108" s="575"/>
      <c r="L108" s="576"/>
      <c r="M108" s="577"/>
      <c r="N108" s="1135"/>
      <c r="O108" s="1135"/>
      <c r="P108" s="45"/>
      <c r="Q108" s="495"/>
    </row>
    <row r="109" spans="1:17" ht="15.75"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5.75" thickTop="1">
      <c r="A110" s="525"/>
      <c r="B110" s="537">
        <f>B35</f>
        <v>111</v>
      </c>
      <c r="C110" s="545"/>
      <c r="D110" s="545"/>
      <c r="E110" s="545"/>
      <c r="F110" s="545"/>
      <c r="G110" s="578"/>
      <c r="H110" s="578"/>
      <c r="I110" s="578"/>
      <c r="J110" s="578"/>
      <c r="K110" s="579"/>
      <c r="L110" s="580"/>
      <c r="M110" s="581"/>
      <c r="N110" s="1135"/>
      <c r="O110" s="1135"/>
      <c r="P110" s="45"/>
      <c r="Q110" s="495"/>
    </row>
    <row r="111" spans="1:17" ht="15.75" thickBot="1">
      <c r="A111" s="525"/>
      <c r="B111" s="560"/>
      <c r="C111" s="551"/>
      <c r="D111" s="551"/>
      <c r="E111" s="551"/>
      <c r="F111" s="551"/>
      <c r="G111" s="582"/>
      <c r="H111" s="582"/>
      <c r="I111" s="582"/>
      <c r="J111" s="582"/>
      <c r="K111" s="582"/>
      <c r="L111" s="582"/>
      <c r="M111" s="583"/>
      <c r="N111" s="1136"/>
      <c r="O111" s="1136"/>
      <c r="P111" s="45"/>
      <c r="Q111" s="495"/>
    </row>
    <row r="112" spans="1:17" ht="15" thickTop="1">
      <c r="A112" s="664"/>
      <c r="B112" s="529">
        <f>B36</f>
        <v>111</v>
      </c>
      <c r="C112" s="514"/>
      <c r="D112" s="514"/>
      <c r="E112" s="514"/>
      <c r="F112" s="514"/>
      <c r="G112" s="574"/>
      <c r="H112" s="574"/>
      <c r="I112" s="574"/>
      <c r="J112" s="574"/>
      <c r="K112" s="575"/>
      <c r="L112" s="576"/>
      <c r="M112" s="577"/>
      <c r="N112" s="1135"/>
      <c r="O112" s="1135"/>
      <c r="P112" s="45"/>
      <c r="Q112" s="495"/>
    </row>
    <row r="113" spans="1:17" ht="15.75" thickBot="1">
      <c r="A113" s="525"/>
      <c r="B113" s="534"/>
      <c r="C113" s="561"/>
      <c r="D113" s="561"/>
      <c r="E113" s="561"/>
      <c r="F113" s="561"/>
      <c r="G113" s="527"/>
      <c r="H113" s="527"/>
      <c r="I113" s="527"/>
      <c r="J113" s="527"/>
      <c r="K113" s="527"/>
      <c r="L113" s="527"/>
      <c r="M113" s="528"/>
      <c r="N113" s="1136"/>
      <c r="O113" s="1136"/>
      <c r="P113" s="45"/>
      <c r="Q113" s="495"/>
    </row>
    <row r="114" spans="1:17" s="462" customFormat="1" ht="15"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5.75" thickBot="1">
      <c r="A115" s="544"/>
      <c r="B115" s="537"/>
      <c r="C115" s="503"/>
      <c r="D115" s="666"/>
      <c r="E115" s="666"/>
      <c r="F115" s="666"/>
      <c r="G115" s="666"/>
      <c r="H115" s="666"/>
      <c r="I115" s="666"/>
      <c r="J115" s="666"/>
      <c r="K115" s="666"/>
      <c r="L115" s="666"/>
      <c r="M115" s="688"/>
      <c r="N115" s="1136"/>
      <c r="O115" s="1136"/>
      <c r="P115" s="549"/>
      <c r="Q115" s="550"/>
    </row>
    <row r="116" spans="1:17">
      <c r="A116" s="518" t="s">
        <v>2551</v>
      </c>
      <c r="B116" s="519" t="s">
        <v>2779</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ht="15">
      <c r="A117" s="525"/>
      <c r="B117" s="537"/>
      <c r="C117" s="586"/>
      <c r="D117" s="586"/>
      <c r="E117" s="586"/>
      <c r="F117" s="586"/>
      <c r="G117" s="586"/>
      <c r="H117" s="586"/>
      <c r="I117" s="586"/>
      <c r="J117" s="587"/>
      <c r="K117" s="587"/>
      <c r="L117" s="588"/>
      <c r="M117" s="589"/>
      <c r="N117" s="1135"/>
      <c r="O117" s="1135"/>
      <c r="P117" s="45"/>
      <c r="Q117" s="495"/>
    </row>
    <row r="118" spans="1:17" ht="15.75"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2780</v>
      </c>
      <c r="C119" s="574"/>
      <c r="D119" s="574"/>
      <c r="E119" s="574"/>
      <c r="F119" s="574"/>
      <c r="G119" s="574"/>
      <c r="H119" s="574"/>
      <c r="I119" s="574"/>
      <c r="J119" s="574"/>
      <c r="K119" s="575"/>
      <c r="L119" s="576"/>
      <c r="M119" s="577"/>
      <c r="N119" s="1135"/>
      <c r="O119" s="1135"/>
      <c r="P119" s="45"/>
      <c r="Q119" s="495"/>
    </row>
    <row r="120" spans="1:17" ht="15.75"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2781</v>
      </c>
      <c r="C121" s="545"/>
      <c r="D121" s="545"/>
      <c r="E121" s="545"/>
      <c r="F121" s="574"/>
      <c r="G121" s="574"/>
      <c r="H121" s="574"/>
      <c r="I121" s="574"/>
      <c r="J121" s="574"/>
      <c r="K121" s="575"/>
      <c r="L121" s="576"/>
      <c r="M121" s="577"/>
      <c r="N121" s="1135"/>
      <c r="O121" s="1135"/>
      <c r="P121" s="45"/>
      <c r="Q121" s="495"/>
    </row>
    <row r="122" spans="1:17" ht="15.75"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2782</v>
      </c>
      <c r="C123" s="545"/>
      <c r="D123" s="545"/>
      <c r="E123" s="545"/>
      <c r="F123" s="545"/>
      <c r="G123" s="545"/>
      <c r="H123" s="574"/>
      <c r="I123" s="574"/>
      <c r="J123" s="574"/>
      <c r="K123" s="575"/>
      <c r="L123" s="576"/>
      <c r="M123" s="577"/>
      <c r="N123" s="1137"/>
      <c r="O123" s="1137"/>
      <c r="P123" s="549"/>
      <c r="Q123" s="550"/>
    </row>
    <row r="124" spans="1:17" s="462" customFormat="1" ht="15.75"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2783</v>
      </c>
      <c r="C125" s="545"/>
      <c r="D125" s="545"/>
      <c r="E125" s="574"/>
      <c r="F125" s="574"/>
      <c r="G125" s="574"/>
      <c r="H125" s="574"/>
      <c r="I125" s="574"/>
      <c r="J125" s="574"/>
      <c r="K125" s="575"/>
      <c r="L125" s="576"/>
      <c r="M125" s="577"/>
      <c r="N125" s="1135"/>
      <c r="O125" s="1135"/>
      <c r="P125" s="45"/>
      <c r="Q125" s="495"/>
    </row>
    <row r="126" spans="1:17" ht="15.75"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5" thickTop="1">
      <c r="A127" s="590"/>
      <c r="B127" s="529">
        <f>B43</f>
        <v>111</v>
      </c>
      <c r="C127" s="545"/>
      <c r="D127" s="545"/>
      <c r="E127" s="545"/>
      <c r="F127" s="545"/>
      <c r="G127" s="545"/>
      <c r="H127" s="574"/>
      <c r="I127" s="574"/>
      <c r="J127" s="574"/>
      <c r="K127" s="575"/>
      <c r="L127" s="576"/>
      <c r="M127" s="577"/>
      <c r="N127" s="1135"/>
      <c r="O127" s="1135"/>
      <c r="P127" s="45"/>
      <c r="Q127" s="495"/>
    </row>
    <row r="128" spans="1:17" ht="15.75" thickBot="1">
      <c r="A128" s="525"/>
      <c r="B128" s="534"/>
      <c r="C128" s="551"/>
      <c r="D128" s="551"/>
      <c r="E128" s="551"/>
      <c r="F128" s="551"/>
      <c r="G128" s="527"/>
      <c r="H128" s="527"/>
      <c r="I128" s="527"/>
      <c r="J128" s="527"/>
      <c r="K128" s="527"/>
      <c r="L128" s="527"/>
      <c r="M128" s="528"/>
      <c r="N128" s="1136"/>
      <c r="O128" s="1136"/>
      <c r="P128" s="45"/>
      <c r="Q128" s="495"/>
    </row>
    <row r="129" spans="1:17" ht="15" thickTop="1">
      <c r="A129" s="590"/>
      <c r="B129" s="529">
        <f>B44</f>
        <v>111</v>
      </c>
      <c r="C129" s="514"/>
      <c r="D129" s="514"/>
      <c r="E129" s="514"/>
      <c r="F129" s="514"/>
      <c r="G129" s="574"/>
      <c r="H129" s="574"/>
      <c r="I129" s="574"/>
      <c r="J129" s="574"/>
      <c r="K129" s="575"/>
      <c r="L129" s="576"/>
      <c r="M129" s="577"/>
      <c r="N129" s="1135"/>
      <c r="O129" s="1135"/>
      <c r="P129" s="45"/>
      <c r="Q129" s="495"/>
    </row>
    <row r="130" spans="1:17" ht="15.75" thickBot="1">
      <c r="A130" s="525"/>
      <c r="B130" s="534"/>
      <c r="C130" s="561"/>
      <c r="D130" s="561"/>
      <c r="E130" s="561"/>
      <c r="F130" s="561"/>
      <c r="G130" s="527"/>
      <c r="H130" s="527"/>
      <c r="I130" s="527"/>
      <c r="J130" s="527"/>
      <c r="K130" s="527"/>
      <c r="L130" s="527"/>
      <c r="M130" s="528"/>
      <c r="N130" s="1136"/>
      <c r="O130" s="1136"/>
      <c r="P130" s="45"/>
      <c r="Q130" s="495"/>
    </row>
    <row r="131" spans="1:17" s="462" customFormat="1" ht="15"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5.75"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2732</v>
      </c>
      <c r="B1" s="386"/>
      <c r="C1" s="387" t="s">
        <v>2784</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2315</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ht="15">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75" thickBot="1">
      <c r="A6" s="397"/>
      <c r="B6" s="398"/>
      <c r="C6" s="3293" t="s">
        <v>2785</v>
      </c>
      <c r="D6" s="3294"/>
      <c r="E6" s="3295" t="s">
        <v>2785</v>
      </c>
      <c r="F6" s="3296"/>
      <c r="G6" s="3293" t="s">
        <v>2785</v>
      </c>
      <c r="H6" s="3294"/>
      <c r="I6" s="3293" t="s">
        <v>2785</v>
      </c>
      <c r="J6" s="3294"/>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75" thickBot="1">
      <c r="A7" s="399" t="s">
        <v>2536</v>
      </c>
      <c r="B7" s="400"/>
      <c r="C7" s="401">
        <f>'数据-取费表'!B2</f>
        <v>43886</v>
      </c>
      <c r="D7" s="402">
        <v>100</v>
      </c>
      <c r="E7" s="403"/>
      <c r="F7" s="404">
        <f>SUMIF(65:65,YEAR(E7)&amp;"-"&amp;INT((MONTH(E7)+2)/3),66:66)</f>
        <v>0</v>
      </c>
      <c r="G7" s="2679"/>
      <c r="H7" s="402">
        <f>SUMIF(65:65,YEAR(G7)&amp;"-"&amp;INT((MONTH(G7)+2)/3),66:66)</f>
        <v>0</v>
      </c>
      <c r="I7" s="2679"/>
      <c r="J7" s="402">
        <f>SUMIF(65:65,YEAR(I7)&amp;"-"&amp;INT((MONTH(I7)+2)/3),66:66)</f>
        <v>0</v>
      </c>
      <c r="K7" s="602"/>
      <c r="L7" s="1115"/>
      <c r="M7" s="1116"/>
      <c r="N7" s="1116"/>
      <c r="O7" s="1116"/>
      <c r="P7" s="3216"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756" t="e">
        <f>D7/J7</f>
        <v>#DIV/0!</v>
      </c>
    </row>
    <row r="8" spans="1:29" s="113" customFormat="1" ht="15.75" thickBot="1">
      <c r="A8" s="399" t="s">
        <v>2538</v>
      </c>
      <c r="B8" s="400"/>
      <c r="C8" s="405" t="s">
        <v>2539</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40" si="3">D8/F8</f>
        <v>#DIV/0!</v>
      </c>
      <c r="AB8" s="756" t="e">
        <f t="shared" ref="AB8:AB40" si="4">D8/H8</f>
        <v>#DIV/0!</v>
      </c>
      <c r="AC8" s="756" t="e">
        <f t="shared" ref="AC8:AC40" si="5">D8/J8</f>
        <v>#DIV/0!</v>
      </c>
    </row>
    <row r="9" spans="1:29" s="113" customFormat="1">
      <c r="A9" s="406" t="s">
        <v>2541</v>
      </c>
      <c r="B9" s="70" t="s">
        <v>2542</v>
      </c>
      <c r="C9" s="2682"/>
      <c r="D9" s="126">
        <v>100</v>
      </c>
      <c r="E9" s="2682"/>
      <c r="F9" s="126">
        <f>SUMIF(70:70,E9,71:71)-SUMIF(70:70,C9,71:71)+100</f>
        <v>100</v>
      </c>
      <c r="G9" s="2682"/>
      <c r="H9" s="126">
        <f>SUMIF(70:70,G9,71:71)-SUMIF(70:70,C9,71:71)+100</f>
        <v>100</v>
      </c>
      <c r="I9" s="2682"/>
      <c r="J9" s="126">
        <f>SUMIF(70:70,I9,71:71)-SUMIF(70:70,C9,71:71)+100</f>
        <v>100</v>
      </c>
      <c r="K9" s="602"/>
      <c r="L9" s="1115"/>
      <c r="M9" s="1116"/>
      <c r="N9" s="1116"/>
      <c r="O9" s="1117"/>
      <c r="P9" s="3201"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7">
      <c r="A10" s="412"/>
      <c r="B10" s="413" t="s">
        <v>2545</v>
      </c>
      <c r="C10" s="423"/>
      <c r="D10" s="127">
        <v>100</v>
      </c>
      <c r="E10" s="423"/>
      <c r="F10" s="127">
        <f>ROUND(100/'数据-取费表'!G16,0)</f>
        <v>111</v>
      </c>
      <c r="G10" s="423"/>
      <c r="H10" s="127">
        <f>ROUND(100/'数据-取费表'!G16,0)</f>
        <v>111</v>
      </c>
      <c r="I10" s="423"/>
      <c r="J10" s="127">
        <f>ROUND(100/'数据-取费表'!G16,0)</f>
        <v>111</v>
      </c>
      <c r="K10" s="661"/>
      <c r="L10" s="1118"/>
      <c r="M10" s="1119"/>
      <c r="N10" s="1119"/>
      <c r="O10" s="1120"/>
      <c r="P10" s="3201"/>
      <c r="Q10" s="1778" t="str">
        <f t="shared" si="6"/>
        <v>土地使用年限（年）</v>
      </c>
      <c r="R10" s="753" t="s">
        <v>17</v>
      </c>
      <c r="S10" s="754">
        <f t="shared" si="0"/>
        <v>111</v>
      </c>
      <c r="T10" s="753" t="s">
        <v>17</v>
      </c>
      <c r="U10" s="754">
        <f t="shared" si="1"/>
        <v>111</v>
      </c>
      <c r="V10" s="753" t="s">
        <v>17</v>
      </c>
      <c r="W10" s="754">
        <f t="shared" si="2"/>
        <v>111</v>
      </c>
      <c r="X10" s="755"/>
      <c r="Y10" s="3073"/>
      <c r="Z10" s="55" t="str">
        <f t="shared" si="7"/>
        <v>土地使用年限（年）</v>
      </c>
      <c r="AA10" s="756">
        <f t="shared" si="3"/>
        <v>0.90090090090090091</v>
      </c>
      <c r="AB10" s="756">
        <f t="shared" si="4"/>
        <v>0.90090090090090091</v>
      </c>
      <c r="AC10" s="756">
        <f t="shared" si="5"/>
        <v>0.90090090090090091</v>
      </c>
    </row>
    <row r="11" spans="1:29" ht="15">
      <c r="A11" s="419"/>
      <c r="B11" s="413" t="s">
        <v>2546</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201"/>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c r="A13" s="419"/>
      <c r="B13" s="2583">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75" thickBot="1">
      <c r="A14" s="427"/>
      <c r="B14" s="2585">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201"/>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18" t="s">
        <v>2786</v>
      </c>
      <c r="C15" s="2676">
        <f>估价对象房地状况!G15</f>
        <v>0</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208" t="s">
        <v>2548</v>
      </c>
      <c r="Q15" s="1793" t="str">
        <f t="shared" si="6"/>
        <v>产业集聚程度</v>
      </c>
      <c r="R15" s="757" t="s">
        <v>17</v>
      </c>
      <c r="S15" s="758">
        <f t="shared" si="0"/>
        <v>100</v>
      </c>
      <c r="T15" s="757" t="s">
        <v>17</v>
      </c>
      <c r="U15" s="758">
        <f t="shared" si="1"/>
        <v>100</v>
      </c>
      <c r="V15" s="757" t="s">
        <v>17</v>
      </c>
      <c r="W15" s="758">
        <f t="shared" si="2"/>
        <v>100</v>
      </c>
      <c r="X15" s="1796"/>
      <c r="Y15" s="3208" t="s">
        <v>2548</v>
      </c>
      <c r="Z15" s="1797" t="str">
        <f t="shared" si="7"/>
        <v>产业集聚程度</v>
      </c>
      <c r="AA15" s="1794">
        <f t="shared" si="3"/>
        <v>1</v>
      </c>
      <c r="AB15" s="1794">
        <f t="shared" si="4"/>
        <v>1</v>
      </c>
      <c r="AC15" s="1794">
        <f t="shared" si="5"/>
        <v>1</v>
      </c>
    </row>
    <row r="16" spans="1:29" ht="15">
      <c r="A16" s="419"/>
      <c r="B16" s="619"/>
      <c r="C16" s="438"/>
      <c r="D16" s="439"/>
      <c r="E16" s="2594"/>
      <c r="F16" s="439"/>
      <c r="G16" s="2594"/>
      <c r="H16" s="441"/>
      <c r="I16" s="2594"/>
      <c r="J16" s="439"/>
      <c r="K16" s="661"/>
      <c r="L16" s="1123"/>
      <c r="M16" s="1114"/>
      <c r="N16" s="1114"/>
      <c r="O16" s="1122"/>
      <c r="P16" s="3209"/>
      <c r="Q16" s="1793"/>
      <c r="R16" s="757"/>
      <c r="S16" s="758"/>
      <c r="T16" s="757"/>
      <c r="U16" s="758"/>
      <c r="V16" s="757"/>
      <c r="W16" s="758"/>
      <c r="X16" s="1796"/>
      <c r="Y16" s="3209"/>
      <c r="Z16" s="1797"/>
      <c r="AA16" s="1794">
        <v>1</v>
      </c>
      <c r="AB16" s="1794">
        <v>1</v>
      </c>
      <c r="AC16" s="1794">
        <v>1</v>
      </c>
    </row>
    <row r="17" spans="1:29" ht="15">
      <c r="A17" s="419"/>
      <c r="B17" s="620" t="s">
        <v>2697</v>
      </c>
      <c r="C17" s="2590">
        <f>估价对象房地状况!G16</f>
        <v>0</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209"/>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1794">
        <f t="shared" si="5"/>
        <v>1</v>
      </c>
    </row>
    <row r="18" spans="1:29" ht="15">
      <c r="A18" s="419"/>
      <c r="B18" s="621"/>
      <c r="C18" s="438"/>
      <c r="D18" s="439"/>
      <c r="E18" s="2588"/>
      <c r="F18" s="439"/>
      <c r="G18" s="2588"/>
      <c r="H18" s="439"/>
      <c r="I18" s="2587"/>
      <c r="J18" s="439"/>
      <c r="K18" s="661"/>
      <c r="L18" s="1123"/>
      <c r="M18" s="1114"/>
      <c r="N18" s="1114"/>
      <c r="O18" s="1122"/>
      <c r="P18" s="3209"/>
      <c r="Q18" s="1793"/>
      <c r="R18" s="757"/>
      <c r="S18" s="758"/>
      <c r="T18" s="757"/>
      <c r="U18" s="758"/>
      <c r="V18" s="757"/>
      <c r="W18" s="758"/>
      <c r="X18" s="1796"/>
      <c r="Y18" s="3209"/>
      <c r="Z18" s="1797"/>
      <c r="AA18" s="1794">
        <v>1</v>
      </c>
      <c r="AB18" s="1794">
        <v>1</v>
      </c>
      <c r="AC18" s="1794">
        <v>1</v>
      </c>
    </row>
    <row r="19" spans="1:29" ht="15">
      <c r="A19" s="419"/>
      <c r="B19" s="620" t="s">
        <v>2736</v>
      </c>
      <c r="C19" s="2590">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209"/>
      <c r="Q19" s="1793" t="str">
        <f t="shared" ref="Q19:Q33" si="8">B19</f>
        <v>区域土地利用方向</v>
      </c>
      <c r="R19" s="757" t="s">
        <v>17</v>
      </c>
      <c r="S19" s="758">
        <f>F19</f>
        <v>100</v>
      </c>
      <c r="T19" s="757" t="s">
        <v>17</v>
      </c>
      <c r="U19" s="758">
        <f>H19</f>
        <v>100</v>
      </c>
      <c r="V19" s="757" t="s">
        <v>17</v>
      </c>
      <c r="W19" s="758">
        <f>J19</f>
        <v>100</v>
      </c>
      <c r="X19" s="1796"/>
      <c r="Y19" s="3209"/>
      <c r="Z19" s="1797" t="str">
        <f>Q19</f>
        <v>区域土地利用方向</v>
      </c>
      <c r="AA19" s="1794">
        <f t="shared" si="3"/>
        <v>1</v>
      </c>
      <c r="AB19" s="1794">
        <f t="shared" si="4"/>
        <v>1</v>
      </c>
      <c r="AC19" s="1794">
        <f t="shared" si="5"/>
        <v>1</v>
      </c>
    </row>
    <row r="20" spans="1:29" ht="15">
      <c r="A20" s="395"/>
      <c r="B20" s="621"/>
      <c r="C20" s="438"/>
      <c r="D20" s="439"/>
      <c r="E20" s="2588"/>
      <c r="F20" s="439"/>
      <c r="G20" s="2588"/>
      <c r="H20" s="439"/>
      <c r="I20" s="2588"/>
      <c r="J20" s="439"/>
      <c r="K20" s="795"/>
      <c r="L20" s="1123"/>
      <c r="M20" s="1114"/>
      <c r="N20" s="1114"/>
      <c r="O20" s="1122"/>
      <c r="P20" s="3209"/>
      <c r="Q20" s="1793"/>
      <c r="R20" s="757"/>
      <c r="S20" s="758"/>
      <c r="T20" s="757"/>
      <c r="U20" s="758"/>
      <c r="V20" s="757"/>
      <c r="W20" s="758"/>
      <c r="X20" s="1796"/>
      <c r="Y20" s="3209"/>
      <c r="Z20" s="1797"/>
      <c r="AA20" s="1794"/>
      <c r="AB20" s="1794"/>
      <c r="AC20" s="1794"/>
    </row>
    <row r="21" spans="1:29" ht="15">
      <c r="A21" s="395"/>
      <c r="B21" s="620" t="s">
        <v>2787</v>
      </c>
      <c r="C21" s="2590">
        <f>估价对象房地状况!G18</f>
        <v>0</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209"/>
      <c r="Q21" s="1793" t="str">
        <f t="shared" si="8"/>
        <v>环境状况</v>
      </c>
      <c r="R21" s="757" t="s">
        <v>17</v>
      </c>
      <c r="S21" s="758">
        <f>F21</f>
        <v>100</v>
      </c>
      <c r="T21" s="757" t="s">
        <v>17</v>
      </c>
      <c r="U21" s="758">
        <f>H21</f>
        <v>100</v>
      </c>
      <c r="V21" s="757" t="s">
        <v>17</v>
      </c>
      <c r="W21" s="758">
        <f>J21</f>
        <v>100</v>
      </c>
      <c r="X21" s="1796"/>
      <c r="Y21" s="3209"/>
      <c r="Z21" s="1797" t="str">
        <f>Q21</f>
        <v>环境状况</v>
      </c>
      <c r="AA21" s="1794">
        <f t="shared" si="3"/>
        <v>1</v>
      </c>
      <c r="AB21" s="1794">
        <f t="shared" si="4"/>
        <v>1</v>
      </c>
      <c r="AC21" s="1794">
        <f t="shared" si="5"/>
        <v>1</v>
      </c>
    </row>
    <row r="22" spans="1:29" ht="15">
      <c r="A22" s="395"/>
      <c r="B22" s="621"/>
      <c r="C22" s="438"/>
      <c r="D22" s="439"/>
      <c r="E22" s="2594"/>
      <c r="F22" s="439"/>
      <c r="G22" s="2594"/>
      <c r="H22" s="439"/>
      <c r="I22" s="438"/>
      <c r="J22" s="439"/>
      <c r="K22" s="661"/>
      <c r="L22" s="1123"/>
      <c r="M22" s="1114"/>
      <c r="N22" s="1114"/>
      <c r="O22" s="1122"/>
      <c r="P22" s="3209"/>
      <c r="Q22" s="1793"/>
      <c r="R22" s="757"/>
      <c r="S22" s="758"/>
      <c r="T22" s="757"/>
      <c r="U22" s="758"/>
      <c r="V22" s="757"/>
      <c r="W22" s="758"/>
      <c r="X22" s="1796"/>
      <c r="Y22" s="3209"/>
      <c r="Z22" s="1797"/>
      <c r="AA22" s="1794">
        <v>1</v>
      </c>
      <c r="AB22" s="1794">
        <v>1</v>
      </c>
      <c r="AC22" s="1794">
        <v>1</v>
      </c>
    </row>
    <row r="23" spans="1:29" s="113" customFormat="1" ht="15">
      <c r="A23" s="638"/>
      <c r="B23" s="622" t="s">
        <v>2642</v>
      </c>
      <c r="C23" s="2590">
        <f>估价对象房地状况!G19</f>
        <v>0</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209"/>
      <c r="Q23" s="1778" t="str">
        <f t="shared" si="8"/>
        <v>公共配套设施</v>
      </c>
      <c r="R23" s="753" t="s">
        <v>17</v>
      </c>
      <c r="S23" s="754">
        <f>F23</f>
        <v>100</v>
      </c>
      <c r="T23" s="753" t="s">
        <v>17</v>
      </c>
      <c r="U23" s="754">
        <f>H23</f>
        <v>100</v>
      </c>
      <c r="V23" s="753" t="s">
        <v>17</v>
      </c>
      <c r="W23" s="754">
        <f>J23</f>
        <v>100</v>
      </c>
      <c r="X23" s="755"/>
      <c r="Y23" s="3209"/>
      <c r="Z23" s="55" t="str">
        <f>Q23</f>
        <v>公共配套设施</v>
      </c>
      <c r="AA23" s="1794">
        <f>D23/F23</f>
        <v>1</v>
      </c>
      <c r="AB23" s="1794">
        <f>D23/H23</f>
        <v>1</v>
      </c>
      <c r="AC23" s="1794">
        <f>D23/J23</f>
        <v>1</v>
      </c>
    </row>
    <row r="24" spans="1:29" s="113" customFormat="1" ht="15">
      <c r="A24" s="638"/>
      <c r="B24" s="621"/>
      <c r="C24" s="2683"/>
      <c r="D24" s="439"/>
      <c r="E24" s="2594"/>
      <c r="F24" s="439"/>
      <c r="G24" s="2594"/>
      <c r="H24" s="439"/>
      <c r="I24" s="438"/>
      <c r="J24" s="439"/>
      <c r="K24" s="661"/>
      <c r="L24" s="1115"/>
      <c r="M24" s="1116"/>
      <c r="N24" s="1116"/>
      <c r="O24" s="1117"/>
      <c r="P24" s="3209"/>
      <c r="Q24" s="1778"/>
      <c r="R24" s="753"/>
      <c r="S24" s="754"/>
      <c r="T24" s="753"/>
      <c r="U24" s="754"/>
      <c r="V24" s="753"/>
      <c r="W24" s="754"/>
      <c r="X24" s="755"/>
      <c r="Y24" s="3209"/>
      <c r="Z24" s="55"/>
      <c r="AA24" s="756">
        <v>1</v>
      </c>
      <c r="AB24" s="756">
        <v>1</v>
      </c>
      <c r="AC24" s="756">
        <v>1</v>
      </c>
    </row>
    <row r="25" spans="1:29" s="113" customFormat="1" ht="15">
      <c r="A25" s="638"/>
      <c r="B25" s="622" t="s">
        <v>2643</v>
      </c>
      <c r="C25" s="2590">
        <f>估价对象房地状况!G20</f>
        <v>0</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209"/>
      <c r="Q25" s="1778" t="str">
        <f t="shared" ref="Q25" si="9">B25</f>
        <v>基础设施水平</v>
      </c>
      <c r="R25" s="753" t="s">
        <v>17</v>
      </c>
      <c r="S25" s="754">
        <f>F25</f>
        <v>100</v>
      </c>
      <c r="T25" s="753" t="s">
        <v>17</v>
      </c>
      <c r="U25" s="754">
        <f>H25</f>
        <v>100</v>
      </c>
      <c r="V25" s="753" t="s">
        <v>17</v>
      </c>
      <c r="W25" s="754">
        <f>J25</f>
        <v>100</v>
      </c>
      <c r="X25" s="755"/>
      <c r="Y25" s="3209"/>
      <c r="Z25" s="55" t="str">
        <f>Q25</f>
        <v>基础设施水平</v>
      </c>
      <c r="AA25" s="1794">
        <f>D25/F25</f>
        <v>1</v>
      </c>
      <c r="AB25" s="1794">
        <f>D25/H25</f>
        <v>1</v>
      </c>
      <c r="AC25" s="1794">
        <f>D25/J25</f>
        <v>1</v>
      </c>
    </row>
    <row r="26" spans="1:29" s="113" customFormat="1" ht="15">
      <c r="A26" s="638"/>
      <c r="B26" s="621"/>
      <c r="C26" s="2683"/>
      <c r="D26" s="439"/>
      <c r="E26" s="2684"/>
      <c r="F26" s="439"/>
      <c r="G26" s="2684"/>
      <c r="H26" s="439"/>
      <c r="I26" s="2684"/>
      <c r="J26" s="439"/>
      <c r="K26" s="661"/>
      <c r="L26" s="1115"/>
      <c r="M26" s="1116"/>
      <c r="N26" s="1116"/>
      <c r="O26" s="1117"/>
      <c r="P26" s="3209"/>
      <c r="Q26" s="1778"/>
      <c r="R26" s="753"/>
      <c r="S26" s="754"/>
      <c r="T26" s="753"/>
      <c r="U26" s="754"/>
      <c r="V26" s="753"/>
      <c r="W26" s="754"/>
      <c r="X26" s="755"/>
      <c r="Y26" s="3209"/>
      <c r="Z26" s="55"/>
      <c r="AA26" s="756">
        <v>1</v>
      </c>
      <c r="AB26" s="756">
        <v>1</v>
      </c>
      <c r="AC26" s="756">
        <v>1</v>
      </c>
    </row>
    <row r="27" spans="1:29" ht="15">
      <c r="A27" s="419"/>
      <c r="B27" s="621" t="s">
        <v>2644</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209"/>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209"/>
      <c r="Z27" s="1797" t="str">
        <f t="shared" ref="Z27:Z40" si="13">Q27</f>
        <v>临街状况</v>
      </c>
      <c r="AA27" s="1794">
        <f t="shared" si="3"/>
        <v>1</v>
      </c>
      <c r="AB27" s="1794">
        <f t="shared" si="4"/>
        <v>1</v>
      </c>
      <c r="AC27" s="1794">
        <f t="shared" si="5"/>
        <v>1</v>
      </c>
    </row>
    <row r="28" spans="1:29" ht="27">
      <c r="A28" s="419"/>
      <c r="B28" s="622" t="s">
        <v>2679</v>
      </c>
      <c r="C28" s="2696">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209"/>
      <c r="Q28" s="1793" t="str">
        <f t="shared" si="8"/>
        <v>毗邻道路的类型与等级</v>
      </c>
      <c r="R28" s="757" t="s">
        <v>17</v>
      </c>
      <c r="S28" s="758">
        <f t="shared" si="10"/>
        <v>100</v>
      </c>
      <c r="T28" s="757" t="s">
        <v>17</v>
      </c>
      <c r="U28" s="758">
        <f t="shared" si="11"/>
        <v>100</v>
      </c>
      <c r="V28" s="757" t="s">
        <v>17</v>
      </c>
      <c r="W28" s="758">
        <f t="shared" si="12"/>
        <v>100</v>
      </c>
      <c r="X28" s="1796"/>
      <c r="Y28" s="3209"/>
      <c r="Z28" s="1797" t="str">
        <f t="shared" si="13"/>
        <v>毗邻道路的类型与等级</v>
      </c>
      <c r="AA28" s="1794">
        <f t="shared" si="3"/>
        <v>1</v>
      </c>
      <c r="AB28" s="1794">
        <f t="shared" si="4"/>
        <v>1</v>
      </c>
      <c r="AC28" s="1794">
        <f t="shared" si="5"/>
        <v>1</v>
      </c>
    </row>
    <row r="29" spans="1:29" ht="15">
      <c r="A29" s="419"/>
      <c r="B29" s="621"/>
      <c r="C29" s="438"/>
      <c r="D29" s="439"/>
      <c r="E29" s="2594"/>
      <c r="F29" s="439"/>
      <c r="G29" s="2594"/>
      <c r="H29" s="439"/>
      <c r="I29" s="2594"/>
      <c r="J29" s="439"/>
      <c r="K29" s="604"/>
      <c r="L29" s="1123"/>
      <c r="M29" s="1114"/>
      <c r="N29" s="1114"/>
      <c r="O29" s="1122"/>
      <c r="P29" s="3209"/>
      <c r="Q29" s="1793"/>
      <c r="R29" s="757"/>
      <c r="S29" s="758"/>
      <c r="T29" s="757"/>
      <c r="U29" s="758"/>
      <c r="V29" s="757"/>
      <c r="W29" s="758"/>
      <c r="X29" s="1796"/>
      <c r="Y29" s="3209"/>
      <c r="Z29" s="1797"/>
      <c r="AA29" s="1794">
        <v>1</v>
      </c>
      <c r="AB29" s="1794">
        <v>1</v>
      </c>
      <c r="AC29" s="1794">
        <v>1</v>
      </c>
    </row>
    <row r="30" spans="1:29" ht="15">
      <c r="A30" s="419"/>
      <c r="B30" s="643" t="s">
        <v>2738</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209"/>
      <c r="Q30" s="1793" t="str">
        <f t="shared" si="8"/>
        <v>土地级别</v>
      </c>
      <c r="R30" s="757" t="s">
        <v>17</v>
      </c>
      <c r="S30" s="758">
        <f t="shared" si="10"/>
        <v>100</v>
      </c>
      <c r="T30" s="757" t="s">
        <v>17</v>
      </c>
      <c r="U30" s="758">
        <f t="shared" si="11"/>
        <v>100</v>
      </c>
      <c r="V30" s="757" t="s">
        <v>17</v>
      </c>
      <c r="W30" s="758">
        <f t="shared" si="12"/>
        <v>100</v>
      </c>
      <c r="X30" s="1796"/>
      <c r="Y30" s="3209"/>
      <c r="Z30" s="1797" t="str">
        <f t="shared" si="13"/>
        <v>土地级别</v>
      </c>
      <c r="AA30" s="1794">
        <f t="shared" si="3"/>
        <v>1</v>
      </c>
      <c r="AB30" s="1794">
        <f t="shared" si="4"/>
        <v>1</v>
      </c>
      <c r="AC30" s="1794">
        <f t="shared" si="5"/>
        <v>1</v>
      </c>
    </row>
    <row r="31" spans="1:29" ht="15">
      <c r="A31" s="395"/>
      <c r="B31" s="2661">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209"/>
      <c r="Q31" s="1793">
        <f t="shared" si="8"/>
        <v>111</v>
      </c>
      <c r="R31" s="757" t="s">
        <v>17</v>
      </c>
      <c r="S31" s="758">
        <f t="shared" si="10"/>
        <v>100</v>
      </c>
      <c r="T31" s="757" t="s">
        <v>17</v>
      </c>
      <c r="U31" s="758">
        <f t="shared" si="11"/>
        <v>100</v>
      </c>
      <c r="V31" s="757" t="s">
        <v>17</v>
      </c>
      <c r="W31" s="758">
        <f t="shared" si="12"/>
        <v>100</v>
      </c>
      <c r="X31" s="1796"/>
      <c r="Y31" s="3209"/>
      <c r="Z31" s="1797">
        <f t="shared" si="13"/>
        <v>111</v>
      </c>
      <c r="AA31" s="1794">
        <f t="shared" si="3"/>
        <v>1</v>
      </c>
      <c r="AB31" s="1794">
        <f t="shared" si="4"/>
        <v>1</v>
      </c>
      <c r="AC31" s="1794">
        <f t="shared" si="5"/>
        <v>1</v>
      </c>
    </row>
    <row r="32" spans="1:29" ht="15">
      <c r="A32" s="664"/>
      <c r="B32" s="2697">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88" t="s">
        <v>2553</v>
      </c>
      <c r="Q32" s="1793">
        <f t="shared" si="8"/>
        <v>111</v>
      </c>
      <c r="R32" s="757" t="s">
        <v>17</v>
      </c>
      <c r="S32" s="758">
        <f t="shared" si="10"/>
        <v>100</v>
      </c>
      <c r="T32" s="757" t="s">
        <v>17</v>
      </c>
      <c r="U32" s="758">
        <f t="shared" si="11"/>
        <v>100</v>
      </c>
      <c r="V32" s="757" t="s">
        <v>17</v>
      </c>
      <c r="W32" s="758">
        <f t="shared" si="12"/>
        <v>100</v>
      </c>
      <c r="X32" s="1796"/>
      <c r="Y32" s="3213" t="s">
        <v>2553</v>
      </c>
      <c r="Z32" s="1797">
        <f t="shared" si="13"/>
        <v>111</v>
      </c>
      <c r="AA32" s="1794">
        <f t="shared" si="3"/>
        <v>1</v>
      </c>
      <c r="AB32" s="1794">
        <f t="shared" si="4"/>
        <v>1</v>
      </c>
      <c r="AC32" s="1794">
        <f t="shared" si="5"/>
        <v>1</v>
      </c>
    </row>
    <row r="33" spans="1:29" s="462" customFormat="1" ht="15.75" thickBot="1">
      <c r="A33" s="665"/>
      <c r="B33" s="2698">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213"/>
      <c r="Q33" s="1793">
        <f t="shared" si="8"/>
        <v>111</v>
      </c>
      <c r="R33" s="760" t="s">
        <v>17</v>
      </c>
      <c r="S33" s="761">
        <f t="shared" si="10"/>
        <v>100</v>
      </c>
      <c r="T33" s="760" t="s">
        <v>17</v>
      </c>
      <c r="U33" s="761">
        <f t="shared" si="11"/>
        <v>100</v>
      </c>
      <c r="V33" s="760" t="s">
        <v>17</v>
      </c>
      <c r="W33" s="761">
        <f t="shared" si="12"/>
        <v>100</v>
      </c>
      <c r="X33" s="762"/>
      <c r="Y33" s="3213"/>
      <c r="Z33" s="763">
        <f t="shared" si="13"/>
        <v>111</v>
      </c>
      <c r="AA33" s="1794">
        <f t="shared" si="3"/>
        <v>1</v>
      </c>
      <c r="AB33" s="1794">
        <f t="shared" si="4"/>
        <v>1</v>
      </c>
      <c r="AC33" s="1794">
        <f t="shared" si="5"/>
        <v>1</v>
      </c>
    </row>
    <row r="34" spans="1:29" ht="15">
      <c r="A34" s="431" t="s">
        <v>2551</v>
      </c>
      <c r="B34" s="447" t="s">
        <v>2739</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213"/>
      <c r="Q34" s="1793" t="str">
        <f>B34</f>
        <v>宗地面积</v>
      </c>
      <c r="R34" s="757" t="s">
        <v>17</v>
      </c>
      <c r="S34" s="758" t="e">
        <f t="shared" si="10"/>
        <v>#N/A</v>
      </c>
      <c r="T34" s="757" t="s">
        <v>17</v>
      </c>
      <c r="U34" s="758" t="e">
        <f t="shared" si="11"/>
        <v>#N/A</v>
      </c>
      <c r="V34" s="757" t="s">
        <v>17</v>
      </c>
      <c r="W34" s="758" t="e">
        <f t="shared" si="12"/>
        <v>#N/A</v>
      </c>
      <c r="X34" s="1796"/>
      <c r="Y34" s="3213"/>
      <c r="Z34" s="1797" t="str">
        <f t="shared" si="13"/>
        <v>宗地面积</v>
      </c>
      <c r="AA34" s="1794" t="e">
        <f t="shared" si="3"/>
        <v>#N/A</v>
      </c>
      <c r="AB34" s="1794" t="e">
        <f t="shared" si="4"/>
        <v>#N/A</v>
      </c>
      <c r="AC34" s="1794" t="e">
        <f t="shared" si="5"/>
        <v>#N/A</v>
      </c>
    </row>
    <row r="35" spans="1:29" ht="15">
      <c r="A35" s="463"/>
      <c r="B35" s="413" t="s">
        <v>2740</v>
      </c>
      <c r="C35" s="2596"/>
      <c r="D35" s="426">
        <v>100</v>
      </c>
      <c r="E35" s="2596"/>
      <c r="F35" s="426">
        <f>SUMIF(110:110,E35,111:111)-SUMIF(110:110,C35,111:111)+100</f>
        <v>100</v>
      </c>
      <c r="G35" s="2596"/>
      <c r="H35" s="426">
        <f>SUMIF(110:110,G35,111:111)-SUMIF(110:110,C35,111:111)+100</f>
        <v>100</v>
      </c>
      <c r="I35" s="2596"/>
      <c r="J35" s="426">
        <f>SUMIF(110:110,I35,111:111)-SUMIF(110:110,C35,111:111)+100</f>
        <v>100</v>
      </c>
      <c r="K35" s="603"/>
      <c r="L35" s="1123"/>
      <c r="M35" s="1114"/>
      <c r="N35" s="1114"/>
      <c r="O35" s="1122"/>
      <c r="P35" s="3213"/>
      <c r="Q35" s="1793" t="str">
        <f t="shared" ref="Q35:Q40" si="14">B35</f>
        <v>宗地形状</v>
      </c>
      <c r="R35" s="757" t="s">
        <v>17</v>
      </c>
      <c r="S35" s="758">
        <f t="shared" si="10"/>
        <v>100</v>
      </c>
      <c r="T35" s="757" t="s">
        <v>17</v>
      </c>
      <c r="U35" s="758">
        <f t="shared" si="11"/>
        <v>100</v>
      </c>
      <c r="V35" s="757" t="s">
        <v>17</v>
      </c>
      <c r="W35" s="758">
        <f t="shared" si="12"/>
        <v>100</v>
      </c>
      <c r="X35" s="1796"/>
      <c r="Y35" s="3213"/>
      <c r="Z35" s="1797" t="str">
        <f t="shared" si="13"/>
        <v>宗地形状</v>
      </c>
      <c r="AA35" s="1794">
        <f t="shared" si="3"/>
        <v>1</v>
      </c>
      <c r="AB35" s="1794">
        <f t="shared" si="4"/>
        <v>1</v>
      </c>
      <c r="AC35" s="1794">
        <f t="shared" si="5"/>
        <v>1</v>
      </c>
    </row>
    <row r="36" spans="1:29" s="113" customFormat="1" ht="15">
      <c r="A36" s="464"/>
      <c r="B36" s="413" t="s">
        <v>2742</v>
      </c>
      <c r="C36" s="2685"/>
      <c r="D36" s="127">
        <v>100</v>
      </c>
      <c r="E36" s="2685"/>
      <c r="F36" s="426">
        <f>SUMIF(112:112,E36,113:113)-SUMIF(112:112,C36,113:113)+100</f>
        <v>100</v>
      </c>
      <c r="G36" s="2685"/>
      <c r="H36" s="426">
        <f>SUMIF(112:112,G36,113:113)-SUMIF(112:112,C36,113:113)+100</f>
        <v>100</v>
      </c>
      <c r="I36" s="2685"/>
      <c r="J36" s="426">
        <f>SUMIF(112:112,I36,113:113)-SUMIF(112:112,C36,113:113)+100</f>
        <v>100</v>
      </c>
      <c r="K36" s="603"/>
      <c r="L36" s="1115"/>
      <c r="M36" s="1116"/>
      <c r="N36" s="1116"/>
      <c r="O36" s="1117"/>
      <c r="P36" s="3213"/>
      <c r="Q36" s="1793" t="str">
        <f t="shared" si="14"/>
        <v>宗地开发程度</v>
      </c>
      <c r="R36" s="753" t="s">
        <v>17</v>
      </c>
      <c r="S36" s="754">
        <f t="shared" si="10"/>
        <v>100</v>
      </c>
      <c r="T36" s="753" t="s">
        <v>17</v>
      </c>
      <c r="U36" s="754">
        <f t="shared" si="11"/>
        <v>100</v>
      </c>
      <c r="V36" s="753" t="s">
        <v>17</v>
      </c>
      <c r="W36" s="754">
        <f t="shared" si="12"/>
        <v>100</v>
      </c>
      <c r="X36" s="755"/>
      <c r="Y36" s="3213"/>
      <c r="Z36" s="55" t="str">
        <f t="shared" si="13"/>
        <v>宗地开发程度</v>
      </c>
      <c r="AA36" s="756">
        <f t="shared" si="3"/>
        <v>1</v>
      </c>
      <c r="AB36" s="756">
        <f t="shared" si="4"/>
        <v>1</v>
      </c>
      <c r="AC36" s="756">
        <f t="shared" si="5"/>
        <v>1</v>
      </c>
    </row>
    <row r="37" spans="1:29" ht="15">
      <c r="A37" s="463"/>
      <c r="B37" s="413" t="s">
        <v>2743</v>
      </c>
      <c r="C37" s="2596"/>
      <c r="D37" s="426">
        <v>100</v>
      </c>
      <c r="E37" s="2596"/>
      <c r="F37" s="426">
        <f>SUMIF(114:114,E37,115:115)-SUMIF(114:114,C37,115:115)+100</f>
        <v>100</v>
      </c>
      <c r="G37" s="2596"/>
      <c r="H37" s="426">
        <f>SUMIF(114:114,G37,115:115)-SUMIF(114:114,C37,115:115)+100</f>
        <v>100</v>
      </c>
      <c r="I37" s="2596"/>
      <c r="J37" s="426">
        <f>SUMIF(114:114,I37,115:115)-SUMIF(114:114,C37,115:115)+100</f>
        <v>100</v>
      </c>
      <c r="K37" s="603"/>
      <c r="L37" s="1123"/>
      <c r="M37" s="1114"/>
      <c r="N37" s="1114"/>
      <c r="O37" s="1122"/>
      <c r="P37" s="3213" t="s">
        <v>2553</v>
      </c>
      <c r="Q37" s="1793" t="str">
        <f t="shared" si="14"/>
        <v>工程地质条件</v>
      </c>
      <c r="R37" s="757" t="s">
        <v>17</v>
      </c>
      <c r="S37" s="758">
        <f t="shared" si="10"/>
        <v>100</v>
      </c>
      <c r="T37" s="757" t="s">
        <v>17</v>
      </c>
      <c r="U37" s="758">
        <f t="shared" si="11"/>
        <v>100</v>
      </c>
      <c r="V37" s="757" t="s">
        <v>17</v>
      </c>
      <c r="W37" s="758">
        <f t="shared" si="12"/>
        <v>100</v>
      </c>
      <c r="X37" s="1796"/>
      <c r="Y37" s="3213" t="s">
        <v>2553</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213"/>
      <c r="Q38" s="1793">
        <f t="shared" si="14"/>
        <v>111</v>
      </c>
      <c r="R38" s="757" t="s">
        <v>17</v>
      </c>
      <c r="S38" s="758">
        <f t="shared" si="10"/>
        <v>100</v>
      </c>
      <c r="T38" s="757" t="s">
        <v>17</v>
      </c>
      <c r="U38" s="758">
        <f t="shared" si="11"/>
        <v>100</v>
      </c>
      <c r="V38" s="757" t="s">
        <v>17</v>
      </c>
      <c r="W38" s="758">
        <f t="shared" si="12"/>
        <v>100</v>
      </c>
      <c r="X38" s="1796"/>
      <c r="Y38" s="3213"/>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213"/>
      <c r="Q39" s="1793">
        <f t="shared" si="14"/>
        <v>111</v>
      </c>
      <c r="R39" s="757" t="s">
        <v>17</v>
      </c>
      <c r="S39" s="758">
        <f t="shared" si="10"/>
        <v>100</v>
      </c>
      <c r="T39" s="757" t="s">
        <v>17</v>
      </c>
      <c r="U39" s="758">
        <f t="shared" si="11"/>
        <v>100</v>
      </c>
      <c r="V39" s="757" t="s">
        <v>17</v>
      </c>
      <c r="W39" s="758">
        <f t="shared" si="12"/>
        <v>100</v>
      </c>
      <c r="X39" s="1796"/>
      <c r="Y39" s="3213"/>
      <c r="Z39" s="1797">
        <f t="shared" si="13"/>
        <v>111</v>
      </c>
      <c r="AA39" s="1794">
        <f t="shared" si="3"/>
        <v>1</v>
      </c>
      <c r="AB39" s="1794">
        <f t="shared" si="4"/>
        <v>1</v>
      </c>
      <c r="AC39" s="1794">
        <f t="shared" si="5"/>
        <v>1</v>
      </c>
    </row>
    <row r="40" spans="1:29" s="462" customFormat="1" ht="15.75" thickBot="1">
      <c r="A40" s="459"/>
      <c r="B40" s="1370">
        <v>111</v>
      </c>
      <c r="C40" s="2686"/>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213"/>
      <c r="Q40" s="1793">
        <f t="shared" si="14"/>
        <v>111</v>
      </c>
      <c r="R40" s="760" t="s">
        <v>17</v>
      </c>
      <c r="S40" s="761">
        <f t="shared" si="10"/>
        <v>100</v>
      </c>
      <c r="T40" s="760" t="s">
        <v>17</v>
      </c>
      <c r="U40" s="761">
        <f t="shared" si="11"/>
        <v>100</v>
      </c>
      <c r="V40" s="760" t="s">
        <v>17</v>
      </c>
      <c r="W40" s="761">
        <f t="shared" si="12"/>
        <v>100</v>
      </c>
      <c r="X40" s="762"/>
      <c r="Y40" s="3213"/>
      <c r="Z40" s="763">
        <f t="shared" si="13"/>
        <v>111</v>
      </c>
      <c r="AA40" s="1794">
        <f t="shared" si="3"/>
        <v>1</v>
      </c>
      <c r="AB40" s="1794">
        <f t="shared" si="4"/>
        <v>1</v>
      </c>
      <c r="AC40" s="1794">
        <f t="shared" si="5"/>
        <v>1</v>
      </c>
    </row>
    <row r="41" spans="1:29" ht="15">
      <c r="A41" s="470" t="s">
        <v>2708</v>
      </c>
      <c r="B41" s="2687" t="s">
        <v>2788</v>
      </c>
      <c r="C41" s="671" t="s">
        <v>1</v>
      </c>
      <c r="D41" s="472"/>
      <c r="E41" s="473"/>
      <c r="F41" s="474"/>
      <c r="G41" s="475"/>
      <c r="H41" s="476"/>
      <c r="I41" s="473"/>
      <c r="J41" s="476"/>
      <c r="K41" s="766"/>
      <c r="L41" s="1126"/>
      <c r="M41" s="1114"/>
      <c r="N41" s="1114"/>
      <c r="O41" s="1127"/>
      <c r="P41" s="3201" t="str">
        <f>A41</f>
        <v>成交单价</v>
      </c>
      <c r="Q41" s="3201"/>
      <c r="R41" s="3215">
        <f>E41</f>
        <v>0</v>
      </c>
      <c r="S41" s="3215"/>
      <c r="T41" s="3215">
        <f>G41</f>
        <v>0</v>
      </c>
      <c r="U41" s="3215"/>
      <c r="V41" s="3215">
        <f>I41</f>
        <v>0</v>
      </c>
      <c r="W41" s="3215"/>
      <c r="X41" s="742"/>
      <c r="Y41" s="764"/>
      <c r="Z41" s="742"/>
      <c r="AA41" s="742"/>
      <c r="AB41" s="742"/>
      <c r="AC41" s="742"/>
    </row>
    <row r="42" spans="1:29" ht="15.75" thickBot="1">
      <c r="A42" s="477" t="s">
        <v>2657</v>
      </c>
      <c r="B42" s="672"/>
      <c r="C42" s="481" t="e">
        <f>R43</f>
        <v>#DIV/0!</v>
      </c>
      <c r="D42" s="480"/>
      <c r="E42" s="481" t="e">
        <f>R42</f>
        <v>#DIV/0!</v>
      </c>
      <c r="F42" s="482"/>
      <c r="G42" s="479" t="e">
        <f>T42</f>
        <v>#DIV/0!</v>
      </c>
      <c r="H42" s="480"/>
      <c r="I42" s="481" t="e">
        <f>V42</f>
        <v>#DIV/0!</v>
      </c>
      <c r="J42" s="480"/>
      <c r="K42" s="767"/>
      <c r="L42" s="1126"/>
      <c r="M42" s="1114"/>
      <c r="N42" s="1114"/>
      <c r="O42" s="1127"/>
      <c r="P42" s="3201" t="str">
        <f>A42</f>
        <v>比较价值（元/平方米）</v>
      </c>
      <c r="Q42" s="3201"/>
      <c r="R42" s="3289" t="e">
        <f>ROUND(PRODUCT(R41,AA7:AA40),0)</f>
        <v>#DIV/0!</v>
      </c>
      <c r="S42" s="3289"/>
      <c r="T42" s="3289" t="e">
        <f>ROUND(PRODUCT(T41,AB7:AB40),0)</f>
        <v>#DIV/0!</v>
      </c>
      <c r="U42" s="3289"/>
      <c r="V42" s="3289" t="e">
        <f>ROUND(PRODUCT(V41,AC7:AC40),0)</f>
        <v>#DIV/0!</v>
      </c>
      <c r="W42" s="3289"/>
      <c r="X42" s="742"/>
      <c r="Y42" s="742"/>
      <c r="Z42" s="742"/>
      <c r="AA42" s="742"/>
      <c r="AB42" s="742"/>
      <c r="AC42" s="742"/>
    </row>
    <row r="43" spans="1:29" ht="15.75" thickBot="1">
      <c r="A43" s="483" t="s">
        <v>2658</v>
      </c>
      <c r="B43" s="484"/>
      <c r="C43" s="485" t="e">
        <f>R43</f>
        <v>#DIV/0!</v>
      </c>
      <c r="D43" s="485"/>
      <c r="E43" s="485"/>
      <c r="F43" s="485"/>
      <c r="G43" s="485"/>
      <c r="H43" s="485"/>
      <c r="I43" s="485"/>
      <c r="J43" s="485"/>
      <c r="K43" s="768"/>
      <c r="L43" s="1126"/>
      <c r="M43" s="1114"/>
      <c r="N43" s="1114"/>
      <c r="O43" s="1127"/>
      <c r="P43" s="3203" t="str">
        <f>A43</f>
        <v>估价对象XX用房的比较价值（楼面单价，元/平方米）</v>
      </c>
      <c r="Q43" s="3204"/>
      <c r="R43" s="3290" t="e">
        <f>ROUND(AVERAGE(R42:V42),0)</f>
        <v>#DIV/0!</v>
      </c>
      <c r="S43" s="3290"/>
      <c r="T43" s="3290"/>
      <c r="U43" s="3290"/>
      <c r="V43" s="3290"/>
      <c r="W43" s="3290"/>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5" thickBot="1">
      <c r="A49" s="1128"/>
      <c r="B49" s="1129"/>
      <c r="C49" s="745"/>
      <c r="D49" s="743"/>
      <c r="E49" s="743"/>
      <c r="F49" s="743"/>
      <c r="G49" s="743"/>
      <c r="H49" s="743"/>
      <c r="I49" s="743"/>
      <c r="J49" s="743"/>
      <c r="K49" s="1131"/>
      <c r="L49" s="1132"/>
      <c r="M49" s="1128"/>
      <c r="N49" s="1128"/>
      <c r="O49" s="1128"/>
    </row>
    <row r="50" spans="1:17" ht="27">
      <c r="A50" s="673" t="s">
        <v>2746</v>
      </c>
      <c r="B50" s="674" t="s">
        <v>2747</v>
      </c>
      <c r="C50" s="2688" t="s">
        <v>2748</v>
      </c>
      <c r="D50" s="2689" t="s">
        <v>2749</v>
      </c>
      <c r="E50" s="675" t="s">
        <v>2750</v>
      </c>
      <c r="F50" s="676" t="s">
        <v>2751</v>
      </c>
      <c r="G50" s="3229" t="s">
        <v>2752</v>
      </c>
      <c r="H50" s="3291"/>
      <c r="I50" s="1797" t="s">
        <v>2789</v>
      </c>
      <c r="J50" s="1797">
        <f>项目基本情况!F35</f>
        <v>0</v>
      </c>
      <c r="K50" s="2691" t="s">
        <v>2754</v>
      </c>
      <c r="L50" s="1089"/>
      <c r="M50" s="1127"/>
      <c r="N50" s="1127"/>
      <c r="O50" s="1127"/>
    </row>
    <row r="51" spans="1:17" s="681" customFormat="1">
      <c r="A51" s="677" t="s">
        <v>2755</v>
      </c>
      <c r="B51" s="678" t="e">
        <f>C43</f>
        <v>#DIV/0!</v>
      </c>
      <c r="C51" s="679">
        <v>1</v>
      </c>
      <c r="D51" s="1146">
        <v>1</v>
      </c>
      <c r="E51" s="679">
        <f>'数据-汇总表'!E8+'数据-汇总表'!E9</f>
        <v>1266.6499999999999</v>
      </c>
      <c r="F51" s="680" t="e">
        <f t="shared" ref="F51:F60" si="15">ROUND(B51*E51/10000,0)</f>
        <v>#DIV/0!</v>
      </c>
      <c r="G51" s="3218"/>
      <c r="H51" s="3201"/>
      <c r="I51" s="925">
        <v>1</v>
      </c>
      <c r="J51" s="925">
        <v>1</v>
      </c>
      <c r="K51" s="1128"/>
      <c r="L51" s="924"/>
      <c r="M51" s="924"/>
      <c r="N51" s="924"/>
      <c r="O51" s="924"/>
    </row>
    <row r="52" spans="1:17" s="681" customFormat="1">
      <c r="A52" s="682" t="s">
        <v>2756</v>
      </c>
      <c r="B52" s="253" t="e">
        <f>ROUND($C$43*C52*D52,0)</f>
        <v>#DIV/0!</v>
      </c>
      <c r="C52" s="191">
        <f t="shared" ref="C52:C60" si="16">IF($C$50="北京市系数",I52,J52)</f>
        <v>0</v>
      </c>
      <c r="D52" s="1147">
        <v>0.25</v>
      </c>
      <c r="E52" s="683"/>
      <c r="F52" s="680" t="e">
        <f t="shared" si="15"/>
        <v>#DIV/0!</v>
      </c>
      <c r="G52" s="3292" t="s">
        <v>2757</v>
      </c>
      <c r="H52" s="1087">
        <f>项目基本情况!B37</f>
        <v>0</v>
      </c>
      <c r="I52" s="925">
        <f>SUMIF(修正!A45:A56,H52,修正!B45:B56)</f>
        <v>0</v>
      </c>
      <c r="J52" s="926"/>
      <c r="K52" s="1127"/>
      <c r="L52" s="924"/>
      <c r="M52" s="924"/>
      <c r="N52" s="924"/>
      <c r="O52" s="924"/>
    </row>
    <row r="53" spans="1:17" s="681" customFormat="1">
      <c r="A53" s="682" t="s">
        <v>2758</v>
      </c>
      <c r="B53" s="253" t="e">
        <f t="shared" ref="B53:B60" si="17">ROUND($C$43*C53*D53,0)</f>
        <v>#DIV/0!</v>
      </c>
      <c r="C53" s="191">
        <f t="shared" si="16"/>
        <v>0</v>
      </c>
      <c r="D53" s="1147">
        <v>0.25</v>
      </c>
      <c r="E53" s="683"/>
      <c r="F53" s="680" t="e">
        <f t="shared" si="15"/>
        <v>#DIV/0!</v>
      </c>
      <c r="G53" s="3292"/>
      <c r="H53" s="1087">
        <f>项目基本情况!B37</f>
        <v>0</v>
      </c>
      <c r="I53" s="925">
        <f>SUMIF(修正!A45:A56,H53,修正!C45:C56)</f>
        <v>0</v>
      </c>
      <c r="J53" s="926"/>
      <c r="K53" s="1128"/>
      <c r="L53" s="924"/>
      <c r="M53" s="924"/>
      <c r="N53" s="924"/>
      <c r="O53" s="924"/>
    </row>
    <row r="54" spans="1:17" s="681" customFormat="1">
      <c r="A54" s="682" t="s">
        <v>2759</v>
      </c>
      <c r="B54" s="253" t="e">
        <f t="shared" si="17"/>
        <v>#DIV/0!</v>
      </c>
      <c r="C54" s="191">
        <f t="shared" si="16"/>
        <v>0</v>
      </c>
      <c r="D54" s="1147">
        <v>0.25</v>
      </c>
      <c r="E54" s="683"/>
      <c r="F54" s="680" t="e">
        <f t="shared" si="15"/>
        <v>#DIV/0!</v>
      </c>
      <c r="G54" s="3292"/>
      <c r="H54" s="1087">
        <f>项目基本情况!B37</f>
        <v>0</v>
      </c>
      <c r="I54" s="925">
        <f>SUMIF(修正!A45:A56,H54,修正!D45:D56)</f>
        <v>0</v>
      </c>
      <c r="J54" s="926"/>
      <c r="K54" s="1127"/>
      <c r="L54" s="924"/>
      <c r="M54" s="924"/>
      <c r="N54" s="924"/>
      <c r="O54" s="924"/>
    </row>
    <row r="55" spans="1:17" s="681" customFormat="1">
      <c r="A55" s="682" t="s">
        <v>2760</v>
      </c>
      <c r="B55" s="253" t="e">
        <f t="shared" si="17"/>
        <v>#DIV/0!</v>
      </c>
      <c r="C55" s="191">
        <f t="shared" si="16"/>
        <v>0</v>
      </c>
      <c r="D55" s="1147">
        <v>0.25</v>
      </c>
      <c r="E55" s="683"/>
      <c r="F55" s="680" t="e">
        <f t="shared" si="15"/>
        <v>#DIV/0!</v>
      </c>
      <c r="G55" s="3292"/>
      <c r="H55" s="1087">
        <f>项目基本情况!B37</f>
        <v>0</v>
      </c>
      <c r="I55" s="925">
        <f>SUMIF(修正!A45:A56,H55,修正!E45:E56)</f>
        <v>0</v>
      </c>
      <c r="J55" s="926"/>
      <c r="K55" s="1128"/>
      <c r="L55" s="924"/>
      <c r="M55" s="924"/>
      <c r="N55" s="924"/>
      <c r="O55" s="924"/>
    </row>
    <row r="56" spans="1:17" s="681" customFormat="1">
      <c r="A56" s="682" t="s">
        <v>2761</v>
      </c>
      <c r="B56" s="253" t="e">
        <f t="shared" si="17"/>
        <v>#DIV/0!</v>
      </c>
      <c r="C56" s="191">
        <f t="shared" si="16"/>
        <v>0</v>
      </c>
      <c r="D56" s="1147">
        <v>0.25</v>
      </c>
      <c r="E56" s="252">
        <f>'数据-汇总表'!E11</f>
        <v>0</v>
      </c>
      <c r="F56" s="680" t="e">
        <f t="shared" si="15"/>
        <v>#DIV/0!</v>
      </c>
      <c r="G56" s="2692" t="s">
        <v>2762</v>
      </c>
      <c r="H56" s="1087">
        <f>项目基本情况!C37</f>
        <v>0</v>
      </c>
      <c r="I56" s="925">
        <f>SUMIF(修正!A45:A56,H56,修正!F45:F56)</f>
        <v>0</v>
      </c>
      <c r="J56" s="926"/>
      <c r="K56" s="1127"/>
      <c r="L56" s="924"/>
      <c r="M56" s="924"/>
      <c r="N56" s="924"/>
      <c r="O56" s="924"/>
    </row>
    <row r="57" spans="1:17" s="681" customFormat="1">
      <c r="A57" s="682" t="s">
        <v>2763</v>
      </c>
      <c r="B57" s="253" t="e">
        <f t="shared" si="17"/>
        <v>#DIV/0!</v>
      </c>
      <c r="C57" s="191">
        <f t="shared" si="16"/>
        <v>0</v>
      </c>
      <c r="D57" s="1147">
        <v>0.25</v>
      </c>
      <c r="E57" s="252">
        <f>'数据-汇总表'!E12</f>
        <v>0</v>
      </c>
      <c r="F57" s="680" t="e">
        <f t="shared" si="15"/>
        <v>#DIV/0!</v>
      </c>
      <c r="G57" s="1092" t="s">
        <v>2764</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2765</v>
      </c>
      <c r="B58" s="253" t="e">
        <f t="shared" si="17"/>
        <v>#DIV/0!</v>
      </c>
      <c r="C58" s="191">
        <f t="shared" si="16"/>
        <v>0</v>
      </c>
      <c r="D58" s="1147">
        <v>0.25</v>
      </c>
      <c r="E58" s="252">
        <f>'数据-汇总表'!E13</f>
        <v>0</v>
      </c>
      <c r="F58" s="680" t="e">
        <f t="shared" si="15"/>
        <v>#DIV/0!</v>
      </c>
      <c r="G58" s="1092" t="s">
        <v>2766</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2767</v>
      </c>
      <c r="B59" s="253" t="e">
        <f t="shared" si="17"/>
        <v>#DIV/0!</v>
      </c>
      <c r="C59" s="191">
        <f t="shared" si="16"/>
        <v>0</v>
      </c>
      <c r="D59" s="1147">
        <v>0.25</v>
      </c>
      <c r="E59" s="252">
        <f>'数据-汇总表'!E14</f>
        <v>0</v>
      </c>
      <c r="F59" s="680" t="e">
        <f t="shared" si="15"/>
        <v>#DIV/0!</v>
      </c>
      <c r="G59" s="2692" t="s">
        <v>2757</v>
      </c>
      <c r="H59" s="1087">
        <f>项目基本情况!B37</f>
        <v>0</v>
      </c>
      <c r="I59" s="925">
        <f>SUMIF(修正!A45:A56,H59,修正!H45:H56)</f>
        <v>0</v>
      </c>
      <c r="J59" s="926"/>
      <c r="K59" s="1128"/>
      <c r="L59" s="924"/>
      <c r="M59" s="924"/>
      <c r="N59" s="924"/>
      <c r="O59" s="924"/>
    </row>
    <row r="60" spans="1:17" s="681" customFormat="1" ht="15" thickBot="1">
      <c r="A60" s="682" t="s">
        <v>2768</v>
      </c>
      <c r="B60" s="253" t="e">
        <f t="shared" si="17"/>
        <v>#DIV/0!</v>
      </c>
      <c r="C60" s="191">
        <f t="shared" si="16"/>
        <v>0</v>
      </c>
      <c r="D60" s="1147">
        <v>0.25</v>
      </c>
      <c r="E60" s="252">
        <f>'数据-汇总表'!E15</f>
        <v>0</v>
      </c>
      <c r="F60" s="680" t="e">
        <f t="shared" si="15"/>
        <v>#DIV/0!</v>
      </c>
      <c r="G60" s="2693" t="s">
        <v>2762</v>
      </c>
      <c r="H60" s="1097">
        <f>项目基本情况!C37</f>
        <v>0</v>
      </c>
      <c r="I60" s="925">
        <f>SUMIF(修正!A45:A56,H60,修正!H45:H56)</f>
        <v>0</v>
      </c>
      <c r="J60" s="926"/>
      <c r="K60" s="1127"/>
      <c r="L60" s="924"/>
      <c r="M60" s="924"/>
      <c r="N60" s="924"/>
      <c r="O60" s="924"/>
    </row>
    <row r="61" spans="1:17" s="681" customFormat="1" ht="15" thickBot="1">
      <c r="A61" s="684" t="s">
        <v>2769</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1.75" thickBot="1">
      <c r="A64" s="746" t="s">
        <v>2662</v>
      </c>
      <c r="B64" s="742"/>
      <c r="C64" s="747"/>
      <c r="D64" s="747"/>
      <c r="E64" s="747"/>
      <c r="F64" s="748"/>
      <c r="G64" s="748"/>
      <c r="H64" s="747"/>
      <c r="I64" s="747"/>
      <c r="J64" s="747"/>
      <c r="K64" s="749"/>
      <c r="L64" s="750"/>
      <c r="M64" s="747"/>
      <c r="N64" s="747"/>
      <c r="O64" s="1142"/>
      <c r="P64" s="494"/>
      <c r="Q64" s="495"/>
    </row>
    <row r="65" spans="1:17" s="499" customFormat="1" ht="15">
      <c r="A65" s="2694" t="s">
        <v>2770</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699" t="s">
        <v>2790</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75" thickBot="1">
      <c r="A67" s="506" t="s">
        <v>2573</v>
      </c>
      <c r="B67" s="507"/>
      <c r="C67" s="508"/>
      <c r="D67" s="509"/>
      <c r="E67" s="509"/>
      <c r="F67" s="509"/>
      <c r="G67" s="509"/>
      <c r="H67" s="509"/>
      <c r="I67" s="509"/>
      <c r="J67" s="509"/>
      <c r="K67" s="509"/>
      <c r="L67" s="509"/>
      <c r="M67" s="510"/>
      <c r="N67" s="510"/>
      <c r="O67" s="511"/>
      <c r="P67" s="495"/>
      <c r="Q67" s="495"/>
    </row>
    <row r="68" spans="1:17" s="113" customFormat="1" ht="15">
      <c r="A68" s="512" t="s">
        <v>2538</v>
      </c>
      <c r="B68" s="501"/>
      <c r="C68" s="513" t="s">
        <v>2640</v>
      </c>
      <c r="D68" s="514"/>
      <c r="E68" s="514"/>
      <c r="F68" s="514"/>
      <c r="G68" s="514"/>
      <c r="H68" s="514"/>
      <c r="I68" s="514"/>
      <c r="J68" s="514"/>
      <c r="K68" s="514"/>
      <c r="L68" s="515"/>
      <c r="M68" s="516"/>
      <c r="N68" s="1134"/>
      <c r="O68" s="1134"/>
      <c r="P68" s="517"/>
      <c r="Q68" s="495"/>
    </row>
    <row r="69" spans="1:17" s="113" customFormat="1" ht="15.75" thickBot="1">
      <c r="A69" s="512"/>
      <c r="B69" s="501"/>
      <c r="C69" s="628">
        <v>100</v>
      </c>
      <c r="D69" s="503"/>
      <c r="E69" s="503"/>
      <c r="F69" s="503"/>
      <c r="G69" s="503"/>
      <c r="H69" s="503"/>
      <c r="I69" s="503"/>
      <c r="J69" s="503"/>
      <c r="K69" s="503"/>
      <c r="L69" s="503"/>
      <c r="M69" s="505"/>
      <c r="N69" s="1134"/>
      <c r="O69" s="1134"/>
      <c r="P69" s="495"/>
      <c r="Q69" s="495"/>
    </row>
    <row r="70" spans="1:17">
      <c r="A70" s="518" t="s">
        <v>2576</v>
      </c>
      <c r="B70" s="519" t="s">
        <v>2542</v>
      </c>
      <c r="C70" s="521"/>
      <c r="D70" s="521"/>
      <c r="E70" s="521"/>
      <c r="F70" s="521"/>
      <c r="G70" s="521"/>
      <c r="H70" s="521"/>
      <c r="I70" s="521"/>
      <c r="J70" s="521"/>
      <c r="K70" s="522"/>
      <c r="L70" s="523"/>
      <c r="M70" s="524"/>
      <c r="N70" s="1135"/>
      <c r="O70" s="1135"/>
      <c r="P70" s="45"/>
      <c r="Q70" s="495"/>
    </row>
    <row r="71" spans="1:17" ht="15.75" thickBot="1">
      <c r="A71" s="525"/>
      <c r="B71" s="526"/>
      <c r="C71" s="527"/>
      <c r="D71" s="527"/>
      <c r="E71" s="527"/>
      <c r="F71" s="527"/>
      <c r="G71" s="527"/>
      <c r="H71" s="527"/>
      <c r="I71" s="527"/>
      <c r="J71" s="527"/>
      <c r="K71" s="527"/>
      <c r="L71" s="527"/>
      <c r="M71" s="528"/>
      <c r="N71" s="1136"/>
      <c r="O71" s="1136"/>
      <c r="P71" s="45"/>
      <c r="Q71" s="495"/>
    </row>
    <row r="72" spans="1:17" ht="27.75" thickTop="1">
      <c r="A72" s="525"/>
      <c r="B72" s="529" t="s">
        <v>2545</v>
      </c>
      <c r="C72" s="530"/>
      <c r="D72" s="530"/>
      <c r="E72" s="530"/>
      <c r="F72" s="530"/>
      <c r="G72" s="530"/>
      <c r="H72" s="530"/>
      <c r="I72" s="530"/>
      <c r="J72" s="530"/>
      <c r="K72" s="531"/>
      <c r="L72" s="532"/>
      <c r="M72" s="533"/>
      <c r="N72" s="1135"/>
      <c r="O72" s="1135"/>
      <c r="P72" s="45"/>
      <c r="Q72" s="495"/>
    </row>
    <row r="73" spans="1:17" ht="15.75" thickBot="1">
      <c r="A73" s="525"/>
      <c r="B73" s="534"/>
      <c r="C73" s="535"/>
      <c r="D73" s="535"/>
      <c r="E73" s="535"/>
      <c r="F73" s="535"/>
      <c r="G73" s="535"/>
      <c r="H73" s="535"/>
      <c r="I73" s="535"/>
      <c r="J73" s="535"/>
      <c r="K73" s="535"/>
      <c r="L73" s="535"/>
      <c r="M73" s="536"/>
      <c r="N73" s="1136"/>
      <c r="O73" s="1136"/>
      <c r="P73" s="45"/>
      <c r="Q73" s="495"/>
    </row>
    <row r="74" spans="1:17" ht="15.75" thickTop="1">
      <c r="A74" s="525"/>
      <c r="B74" s="537" t="s">
        <v>2546</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ht="15">
      <c r="A75" s="525"/>
      <c r="B75" s="539"/>
      <c r="C75" s="540"/>
      <c r="D75" s="540"/>
      <c r="E75" s="540"/>
      <c r="F75" s="540"/>
      <c r="G75" s="540"/>
      <c r="H75" s="540"/>
      <c r="I75" s="540"/>
      <c r="J75" s="540"/>
      <c r="K75" s="541"/>
      <c r="L75" s="542"/>
      <c r="M75" s="543"/>
      <c r="N75" s="1135"/>
      <c r="O75" s="1135"/>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5.75" thickTop="1">
      <c r="A77" s="544"/>
      <c r="B77" s="529">
        <f>B12</f>
        <v>111</v>
      </c>
      <c r="C77" s="545"/>
      <c r="D77" s="545"/>
      <c r="E77" s="545"/>
      <c r="F77" s="545"/>
      <c r="G77" s="545"/>
      <c r="H77" s="546"/>
      <c r="I77" s="546"/>
      <c r="J77" s="546"/>
      <c r="K77" s="546"/>
      <c r="L77" s="547"/>
      <c r="M77" s="548"/>
      <c r="N77" s="1137"/>
      <c r="O77" s="1137"/>
      <c r="P77" s="549"/>
      <c r="Q77" s="550"/>
    </row>
    <row r="78" spans="1:17" s="462" customFormat="1" ht="15.75" thickBot="1">
      <c r="A78" s="544"/>
      <c r="B78" s="534"/>
      <c r="C78" s="551"/>
      <c r="D78" s="527"/>
      <c r="E78" s="527"/>
      <c r="F78" s="527"/>
      <c r="G78" s="527"/>
      <c r="H78" s="527"/>
      <c r="I78" s="527"/>
      <c r="J78" s="527"/>
      <c r="K78" s="527"/>
      <c r="L78" s="527"/>
      <c r="M78" s="528"/>
      <c r="N78" s="1136"/>
      <c r="O78" s="1136"/>
      <c r="P78" s="549"/>
      <c r="Q78" s="550"/>
    </row>
    <row r="79" spans="1:17" s="462" customFormat="1" ht="15.75" thickTop="1">
      <c r="A79" s="544"/>
      <c r="B79" s="529">
        <f>B13</f>
        <v>111</v>
      </c>
      <c r="C79" s="545"/>
      <c r="D79" s="545"/>
      <c r="E79" s="545"/>
      <c r="F79" s="545"/>
      <c r="G79" s="545"/>
      <c r="H79" s="546"/>
      <c r="I79" s="546"/>
      <c r="J79" s="546"/>
      <c r="K79" s="546"/>
      <c r="L79" s="547"/>
      <c r="M79" s="548"/>
      <c r="N79" s="1137"/>
      <c r="O79" s="1137"/>
      <c r="P79" s="461"/>
      <c r="Q79" s="552"/>
    </row>
    <row r="80" spans="1:17" s="462" customFormat="1" ht="15.75" thickBot="1">
      <c r="A80" s="544"/>
      <c r="B80" s="534"/>
      <c r="C80" s="551"/>
      <c r="D80" s="551"/>
      <c r="E80" s="551"/>
      <c r="F80" s="551"/>
      <c r="G80" s="551"/>
      <c r="H80" s="553"/>
      <c r="I80" s="553"/>
      <c r="J80" s="553"/>
      <c r="K80" s="553"/>
      <c r="L80" s="553"/>
      <c r="M80" s="554"/>
      <c r="N80" s="1137"/>
      <c r="O80" s="1137"/>
      <c r="P80" s="549"/>
      <c r="Q80" s="550"/>
    </row>
    <row r="81" spans="1:17" s="462" customFormat="1" ht="15.75" thickTop="1">
      <c r="A81" s="544"/>
      <c r="B81" s="537">
        <f>B14</f>
        <v>111</v>
      </c>
      <c r="C81" s="514"/>
      <c r="D81" s="514"/>
      <c r="E81" s="514"/>
      <c r="F81" s="514"/>
      <c r="G81" s="514"/>
      <c r="H81" s="555"/>
      <c r="I81" s="555"/>
      <c r="J81" s="555"/>
      <c r="K81" s="555"/>
      <c r="L81" s="556"/>
      <c r="M81" s="557"/>
      <c r="N81" s="1137"/>
      <c r="O81" s="1137"/>
      <c r="P81" s="558"/>
      <c r="Q81" s="550"/>
    </row>
    <row r="82" spans="1:17" s="462" customFormat="1" ht="15.75" thickBot="1">
      <c r="A82" s="559"/>
      <c r="B82" s="560"/>
      <c r="C82" s="561"/>
      <c r="D82" s="561"/>
      <c r="E82" s="561"/>
      <c r="F82" s="561"/>
      <c r="G82" s="561"/>
      <c r="H82" s="562"/>
      <c r="I82" s="562"/>
      <c r="J82" s="562"/>
      <c r="K82" s="562"/>
      <c r="L82" s="562"/>
      <c r="M82" s="563"/>
      <c r="N82" s="1137"/>
      <c r="O82" s="1137"/>
      <c r="P82" s="549"/>
      <c r="Q82" s="550"/>
    </row>
    <row r="83" spans="1:17">
      <c r="A83" s="518" t="s">
        <v>2547</v>
      </c>
      <c r="B83" s="519" t="s">
        <v>2693</v>
      </c>
      <c r="C83" s="564" t="s">
        <v>2585</v>
      </c>
      <c r="D83" s="564" t="s">
        <v>2586</v>
      </c>
      <c r="E83" s="564" t="s">
        <v>2587</v>
      </c>
      <c r="F83" s="564" t="s">
        <v>2588</v>
      </c>
      <c r="G83" s="564" t="s">
        <v>2589</v>
      </c>
      <c r="H83" s="520"/>
      <c r="I83" s="520"/>
      <c r="J83" s="520"/>
      <c r="K83" s="565"/>
      <c r="L83" s="566"/>
      <c r="M83" s="567"/>
      <c r="N83" s="1135"/>
      <c r="O83" s="1135"/>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75" thickTop="1">
      <c r="A85" s="525"/>
      <c r="B85" s="529" t="s">
        <v>2590</v>
      </c>
      <c r="C85" s="569" t="s">
        <v>2585</v>
      </c>
      <c r="D85" s="569" t="s">
        <v>2586</v>
      </c>
      <c r="E85" s="569" t="s">
        <v>2587</v>
      </c>
      <c r="F85" s="569" t="s">
        <v>2588</v>
      </c>
      <c r="G85" s="569" t="s">
        <v>2589</v>
      </c>
      <c r="H85" s="530"/>
      <c r="I85" s="530"/>
      <c r="J85" s="530"/>
      <c r="K85" s="531"/>
      <c r="L85" s="532"/>
      <c r="M85" s="533"/>
      <c r="N85" s="1135"/>
      <c r="O85" s="1135"/>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15.75" thickTop="1">
      <c r="A87" s="570"/>
      <c r="B87" s="529" t="s">
        <v>2773</v>
      </c>
      <c r="C87" s="564" t="s">
        <v>2585</v>
      </c>
      <c r="D87" s="564" t="s">
        <v>2586</v>
      </c>
      <c r="E87" s="564" t="s">
        <v>2587</v>
      </c>
      <c r="F87" s="564" t="s">
        <v>2588</v>
      </c>
      <c r="G87" s="564" t="s">
        <v>2589</v>
      </c>
      <c r="H87" s="569"/>
      <c r="I87" s="569"/>
      <c r="J87" s="569"/>
      <c r="K87" s="569"/>
      <c r="L87" s="687"/>
      <c r="M87" s="611"/>
      <c r="N87" s="1134"/>
      <c r="O87" s="1134"/>
      <c r="P87" s="45"/>
      <c r="Q87" s="495"/>
    </row>
    <row r="88" spans="1:17" s="113" customFormat="1" ht="15.75"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7.75" thickTop="1">
      <c r="A89" s="570"/>
      <c r="B89" s="529" t="s">
        <v>2774</v>
      </c>
      <c r="C89" s="564" t="s">
        <v>2585</v>
      </c>
      <c r="D89" s="564" t="s">
        <v>2586</v>
      </c>
      <c r="E89" s="564" t="s">
        <v>2587</v>
      </c>
      <c r="F89" s="564" t="s">
        <v>2588</v>
      </c>
      <c r="G89" s="564" t="s">
        <v>2589</v>
      </c>
      <c r="H89" s="569"/>
      <c r="I89" s="569"/>
      <c r="J89" s="569"/>
      <c r="K89" s="569"/>
      <c r="L89" s="569"/>
      <c r="M89" s="611"/>
      <c r="N89" s="1134"/>
      <c r="O89" s="1134"/>
      <c r="P89" s="45"/>
      <c r="Q89" s="495"/>
    </row>
    <row r="90" spans="1:17" s="113" customFormat="1" ht="15.75"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75" thickTop="1">
      <c r="A91" s="544"/>
      <c r="B91" s="529" t="s">
        <v>2642</v>
      </c>
      <c r="C91" s="564" t="s">
        <v>2585</v>
      </c>
      <c r="D91" s="564" t="s">
        <v>2586</v>
      </c>
      <c r="E91" s="564" t="s">
        <v>2587</v>
      </c>
      <c r="F91" s="564" t="s">
        <v>2588</v>
      </c>
      <c r="G91" s="564" t="s">
        <v>2589</v>
      </c>
      <c r="H91" s="591"/>
      <c r="I91" s="591"/>
      <c r="J91" s="591"/>
      <c r="K91" s="591"/>
      <c r="L91" s="592"/>
      <c r="M91" s="593"/>
      <c r="N91" s="1137"/>
      <c r="O91" s="1137"/>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75" thickTop="1">
      <c r="A93" s="544"/>
      <c r="B93" s="537" t="s">
        <v>2791</v>
      </c>
      <c r="C93" s="649" t="s">
        <v>2663</v>
      </c>
      <c r="D93" s="649" t="s">
        <v>2664</v>
      </c>
      <c r="E93" s="649" t="s">
        <v>2665</v>
      </c>
      <c r="F93" s="649" t="s">
        <v>2666</v>
      </c>
      <c r="G93" s="649" t="s">
        <v>2667</v>
      </c>
      <c r="H93" s="591"/>
      <c r="I93" s="591"/>
      <c r="J93" s="591"/>
      <c r="K93" s="591"/>
      <c r="L93" s="591"/>
      <c r="M93" s="593"/>
      <c r="N93" s="1137"/>
      <c r="O93" s="1137"/>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75" thickTop="1">
      <c r="A95" s="525"/>
      <c r="B95" s="529" t="str">
        <f>B27</f>
        <v>临街状况</v>
      </c>
      <c r="C95" s="530" t="s">
        <v>2775</v>
      </c>
      <c r="D95" s="530" t="s">
        <v>2776</v>
      </c>
      <c r="E95" s="530" t="s">
        <v>2777</v>
      </c>
      <c r="F95" s="530" t="s">
        <v>2778</v>
      </c>
      <c r="G95" s="530"/>
      <c r="H95" s="530"/>
      <c r="I95" s="530"/>
      <c r="J95" s="530"/>
      <c r="K95" s="531"/>
      <c r="L95" s="532"/>
      <c r="M95" s="533"/>
      <c r="N95" s="1135"/>
      <c r="O95" s="1135"/>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7.75" thickTop="1">
      <c r="A97" s="525"/>
      <c r="B97" s="529" t="s">
        <v>2679</v>
      </c>
      <c r="C97" s="545"/>
      <c r="D97" s="545"/>
      <c r="E97" s="545"/>
      <c r="F97" s="545"/>
      <c r="G97" s="545"/>
      <c r="H97" s="574"/>
      <c r="I97" s="574"/>
      <c r="J97" s="574"/>
      <c r="K97" s="575"/>
      <c r="L97" s="576"/>
      <c r="M97" s="577"/>
      <c r="N97" s="1135"/>
      <c r="O97" s="1135"/>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75" thickTop="1">
      <c r="A99" s="525"/>
      <c r="B99" s="529" t="s">
        <v>2738</v>
      </c>
      <c r="C99" s="574"/>
      <c r="D99" s="574"/>
      <c r="E99" s="574"/>
      <c r="F99" s="574"/>
      <c r="G99" s="574"/>
      <c r="H99" s="574"/>
      <c r="I99" s="574"/>
      <c r="J99" s="574"/>
      <c r="K99" s="575"/>
      <c r="L99" s="576"/>
      <c r="M99" s="577"/>
      <c r="N99" s="1135"/>
      <c r="O99" s="1135"/>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5.75" thickTop="1">
      <c r="A101" s="525"/>
      <c r="B101" s="537">
        <f>B31</f>
        <v>111</v>
      </c>
      <c r="C101" s="545"/>
      <c r="D101" s="545"/>
      <c r="E101" s="545"/>
      <c r="F101" s="545"/>
      <c r="G101" s="578"/>
      <c r="H101" s="578"/>
      <c r="I101" s="578"/>
      <c r="J101" s="578"/>
      <c r="K101" s="579"/>
      <c r="L101" s="580"/>
      <c r="M101" s="581"/>
      <c r="N101" s="1135"/>
      <c r="O101" s="1135"/>
      <c r="P101" s="45"/>
      <c r="Q101" s="495"/>
    </row>
    <row r="102" spans="1:17" ht="15.75" thickBot="1">
      <c r="A102" s="525"/>
      <c r="B102" s="560"/>
      <c r="C102" s="551"/>
      <c r="D102" s="527"/>
      <c r="E102" s="527"/>
      <c r="F102" s="527"/>
      <c r="G102" s="582"/>
      <c r="H102" s="582"/>
      <c r="I102" s="582"/>
      <c r="J102" s="582"/>
      <c r="K102" s="582"/>
      <c r="L102" s="582"/>
      <c r="M102" s="583"/>
      <c r="N102" s="1136"/>
      <c r="O102" s="1136"/>
      <c r="P102" s="45"/>
      <c r="Q102" s="495"/>
    </row>
    <row r="103" spans="1:17" ht="15" thickTop="1">
      <c r="A103" s="664"/>
      <c r="B103" s="529">
        <f>B32</f>
        <v>111</v>
      </c>
      <c r="C103" s="545"/>
      <c r="D103" s="545"/>
      <c r="E103" s="545"/>
      <c r="F103" s="545"/>
      <c r="G103" s="574"/>
      <c r="H103" s="574"/>
      <c r="I103" s="574"/>
      <c r="J103" s="574"/>
      <c r="K103" s="575"/>
      <c r="L103" s="576"/>
      <c r="M103" s="577"/>
      <c r="N103" s="1135"/>
      <c r="O103" s="1135"/>
      <c r="P103" s="45"/>
      <c r="Q103" s="495"/>
    </row>
    <row r="104" spans="1:17" ht="15.75" thickBot="1">
      <c r="A104" s="525"/>
      <c r="B104" s="534"/>
      <c r="C104" s="551"/>
      <c r="D104" s="551"/>
      <c r="E104" s="551"/>
      <c r="F104" s="551"/>
      <c r="G104" s="527"/>
      <c r="H104" s="527"/>
      <c r="I104" s="527"/>
      <c r="J104" s="527"/>
      <c r="K104" s="527"/>
      <c r="L104" s="527"/>
      <c r="M104" s="528"/>
      <c r="N104" s="1136"/>
      <c r="O104" s="1136"/>
      <c r="P104" s="45"/>
      <c r="Q104" s="495"/>
    </row>
    <row r="105" spans="1:17" s="462" customFormat="1" ht="15"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5.75" thickBot="1">
      <c r="A106" s="544"/>
      <c r="B106" s="537"/>
      <c r="C106" s="561"/>
      <c r="D106" s="561"/>
      <c r="E106" s="561"/>
      <c r="F106" s="561"/>
      <c r="G106" s="666"/>
      <c r="H106" s="666"/>
      <c r="I106" s="666"/>
      <c r="J106" s="666"/>
      <c r="K106" s="666"/>
      <c r="L106" s="666"/>
      <c r="M106" s="688"/>
      <c r="N106" s="1136"/>
      <c r="O106" s="1136"/>
      <c r="P106" s="549"/>
      <c r="Q106" s="550"/>
    </row>
    <row r="107" spans="1:17">
      <c r="A107" s="518" t="s">
        <v>2551</v>
      </c>
      <c r="B107" s="519" t="s">
        <v>2779</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ht="15">
      <c r="A108" s="525"/>
      <c r="B108" s="537"/>
      <c r="C108" s="586"/>
      <c r="D108" s="586"/>
      <c r="E108" s="586"/>
      <c r="F108" s="586"/>
      <c r="G108" s="586"/>
      <c r="H108" s="586"/>
      <c r="I108" s="586"/>
      <c r="J108" s="587"/>
      <c r="K108" s="587"/>
      <c r="L108" s="588"/>
      <c r="M108" s="589"/>
      <c r="N108" s="1135"/>
      <c r="O108" s="1135"/>
      <c r="P108" s="45"/>
      <c r="Q108" s="495"/>
    </row>
    <row r="109" spans="1:17" ht="15.75"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2780</v>
      </c>
      <c r="C110" s="574"/>
      <c r="D110" s="574"/>
      <c r="E110" s="574"/>
      <c r="F110" s="574"/>
      <c r="G110" s="574"/>
      <c r="H110" s="574"/>
      <c r="I110" s="574"/>
      <c r="J110" s="574"/>
      <c r="K110" s="575"/>
      <c r="L110" s="576"/>
      <c r="M110" s="577"/>
      <c r="N110" s="1135"/>
      <c r="O110" s="1135"/>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2782</v>
      </c>
      <c r="C112" s="545"/>
      <c r="D112" s="545"/>
      <c r="E112" s="545"/>
      <c r="F112" s="545"/>
      <c r="G112" s="545"/>
      <c r="H112" s="574"/>
      <c r="I112" s="574"/>
      <c r="J112" s="574"/>
      <c r="K112" s="575"/>
      <c r="L112" s="576"/>
      <c r="M112" s="577"/>
      <c r="N112" s="1137"/>
      <c r="O112" s="1137"/>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2783</v>
      </c>
      <c r="C114" s="545"/>
      <c r="D114" s="545"/>
      <c r="E114" s="574"/>
      <c r="F114" s="574"/>
      <c r="G114" s="574"/>
      <c r="H114" s="574"/>
      <c r="I114" s="574"/>
      <c r="J114" s="574"/>
      <c r="K114" s="575"/>
      <c r="L114" s="576"/>
      <c r="M114" s="577"/>
      <c r="N114" s="1135"/>
      <c r="O114" s="1135"/>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5" thickTop="1">
      <c r="A116" s="590"/>
      <c r="B116" s="529">
        <f>B38</f>
        <v>111</v>
      </c>
      <c r="C116" s="545"/>
      <c r="D116" s="545"/>
      <c r="E116" s="545"/>
      <c r="F116" s="545"/>
      <c r="G116" s="545"/>
      <c r="H116" s="574"/>
      <c r="I116" s="574"/>
      <c r="J116" s="574"/>
      <c r="K116" s="575"/>
      <c r="L116" s="576"/>
      <c r="M116" s="577"/>
      <c r="N116" s="1135"/>
      <c r="O116" s="1135"/>
      <c r="P116" s="45"/>
      <c r="Q116" s="495"/>
    </row>
    <row r="117" spans="1:17" ht="15.75" thickBot="1">
      <c r="A117" s="525"/>
      <c r="B117" s="534"/>
      <c r="C117" s="551"/>
      <c r="D117" s="527"/>
      <c r="E117" s="527"/>
      <c r="F117" s="527"/>
      <c r="G117" s="527"/>
      <c r="H117" s="527"/>
      <c r="I117" s="527"/>
      <c r="J117" s="527"/>
      <c r="K117" s="527"/>
      <c r="L117" s="527"/>
      <c r="M117" s="528"/>
      <c r="N117" s="1136"/>
      <c r="O117" s="1136"/>
      <c r="P117" s="45"/>
      <c r="Q117" s="495"/>
    </row>
    <row r="118" spans="1:17" ht="15" thickTop="1">
      <c r="A118" s="590"/>
      <c r="B118" s="529">
        <f>B39</f>
        <v>111</v>
      </c>
      <c r="C118" s="545"/>
      <c r="D118" s="545"/>
      <c r="E118" s="545"/>
      <c r="F118" s="545"/>
      <c r="G118" s="574"/>
      <c r="H118" s="574"/>
      <c r="I118" s="574"/>
      <c r="J118" s="574"/>
      <c r="K118" s="575"/>
      <c r="L118" s="576"/>
      <c r="M118" s="577"/>
      <c r="N118" s="1135"/>
      <c r="O118" s="1135"/>
      <c r="P118" s="45"/>
      <c r="Q118" s="495"/>
    </row>
    <row r="119" spans="1:17" ht="15.75" thickBot="1">
      <c r="A119" s="525"/>
      <c r="B119" s="534"/>
      <c r="C119" s="551"/>
      <c r="D119" s="551"/>
      <c r="E119" s="551"/>
      <c r="F119" s="551"/>
      <c r="G119" s="527"/>
      <c r="H119" s="527"/>
      <c r="I119" s="527"/>
      <c r="J119" s="527"/>
      <c r="K119" s="527"/>
      <c r="L119" s="527"/>
      <c r="M119" s="528"/>
      <c r="N119" s="1136"/>
      <c r="O119" s="1136"/>
      <c r="P119" s="45"/>
      <c r="Q119" s="495"/>
    </row>
    <row r="120" spans="1:17" s="462" customFormat="1" ht="15"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5.75"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36">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1" customWidth="1"/>
    <col min="2" max="2" width="19.25" style="2877"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55" customWidth="1"/>
    <col min="33" max="36" width="9.375" style="2771" customWidth="1"/>
    <col min="37" max="38" width="9.375" style="2703" customWidth="1"/>
    <col min="39" max="16384" width="12" style="2703"/>
  </cols>
  <sheetData>
    <row r="1" spans="1:36" ht="28.5">
      <c r="A1" s="231" t="s">
        <v>2792</v>
      </c>
      <c r="B1" s="232"/>
      <c r="C1" s="236" t="s">
        <v>2793</v>
      </c>
      <c r="D1" s="379">
        <f>SUM(D29:D30,D33:D39)</f>
        <v>0</v>
      </c>
      <c r="E1" s="2700"/>
      <c r="F1" s="2700"/>
      <c r="G1" s="2700"/>
      <c r="H1" s="2700"/>
      <c r="I1" s="2700"/>
      <c r="J1" s="2700"/>
      <c r="K1" s="1353"/>
      <c r="L1" s="2701" t="s">
        <v>2794</v>
      </c>
      <c r="M1" s="1063">
        <f>SUMPRODUCT((区片价!B5:B9=I2)*(区片价!C3:F3=E2)*(区片价!C5:F9))</f>
        <v>0</v>
      </c>
      <c r="N1" s="1066">
        <f>SUMPRODUCT((因素修正幅度!B5:B9=I2)*(因素修正幅度!C3:F3=E2)*(因素修正幅度!C5:F9))</f>
        <v>0</v>
      </c>
      <c r="O1" s="2702"/>
      <c r="P1" s="2702"/>
      <c r="Q1" s="1353"/>
      <c r="R1" s="1585" t="s">
        <v>2795</v>
      </c>
      <c r="S1" s="1585" t="s">
        <v>2796</v>
      </c>
      <c r="T1" s="1585" t="s">
        <v>2797</v>
      </c>
      <c r="U1" s="1585" t="s">
        <v>2798</v>
      </c>
      <c r="V1" s="1585" t="s">
        <v>2799</v>
      </c>
      <c r="W1" s="1589"/>
      <c r="X1" s="1589"/>
      <c r="Y1" s="1589"/>
      <c r="Z1" s="1589"/>
      <c r="AA1" s="1589"/>
      <c r="AB1" s="1589"/>
      <c r="AC1" s="1590"/>
      <c r="AD1" s="1591"/>
      <c r="AE1" s="1591"/>
      <c r="AF1" s="1591"/>
      <c r="AG1" s="1591"/>
      <c r="AH1" s="1591"/>
      <c r="AI1" s="1591"/>
      <c r="AJ1" s="1592"/>
    </row>
    <row r="2" spans="1:36" ht="15.75">
      <c r="A2" s="236" t="s">
        <v>2800</v>
      </c>
      <c r="B2" s="239" t="e">
        <f>C26</f>
        <v>#DIV/0!</v>
      </c>
      <c r="C2" s="2704" t="s">
        <v>2801</v>
      </c>
      <c r="D2" s="2705" t="s">
        <v>2802</v>
      </c>
      <c r="E2" s="2706"/>
      <c r="F2" s="2705" t="s">
        <v>2803</v>
      </c>
      <c r="G2" s="2707">
        <f>IF(E2="商业",项目基本情况!B37,IF(E2="办公",项目基本情况!C37,IF(E2="住宅",项目基本情况!D37,项目基本情况!E37)))</f>
        <v>0</v>
      </c>
      <c r="H2" s="2705" t="s">
        <v>2804</v>
      </c>
      <c r="I2" s="2707">
        <f>IF(E2="商业",项目基本情况!B38,IF(E2="办公",项目基本情况!C38,IF(E2="住宅",项目基本情况!D38,项目基本情况!E38)))</f>
        <v>0</v>
      </c>
      <c r="J2" s="2708"/>
      <c r="K2" s="1353"/>
      <c r="L2" s="2709" t="s">
        <v>2805</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75">
      <c r="A3" s="238" t="s">
        <v>2806</v>
      </c>
      <c r="B3" s="239" t="e">
        <f>ROUND(B2*10000/D1,0)</f>
        <v>#DIV/0!</v>
      </c>
      <c r="C3" s="2704" t="s">
        <v>2807</v>
      </c>
      <c r="D3" s="2705" t="s">
        <v>2808</v>
      </c>
      <c r="E3" s="2710"/>
      <c r="F3" s="2711" t="s">
        <v>2809</v>
      </c>
      <c r="G3" s="899" t="e">
        <f>IF(F3="宗地容积率",'数据-汇总表'!I4,IF(F3="估价对象容积率",'数据-汇总表'!I6,'数据-汇总表'!I7))</f>
        <v>#DIV/0!</v>
      </c>
      <c r="H3" s="189" t="s">
        <v>2810</v>
      </c>
      <c r="I3" s="927"/>
      <c r="J3" s="2708" t="s">
        <v>2811</v>
      </c>
      <c r="K3" s="1353"/>
      <c r="L3" s="2709" t="s">
        <v>2812</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75">
      <c r="A4" s="3313"/>
      <c r="B4" s="3314"/>
      <c r="C4" s="3314"/>
      <c r="D4" s="3315"/>
      <c r="E4" s="3315"/>
      <c r="F4" s="3315"/>
      <c r="G4" s="3315"/>
      <c r="H4" s="3315"/>
      <c r="I4" s="3315"/>
      <c r="J4" s="3316"/>
      <c r="K4" s="1353"/>
      <c r="L4" s="2709" t="s">
        <v>2813</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1" customFormat="1" ht="15.75" thickBot="1">
      <c r="A5" s="2712" t="s">
        <v>807</v>
      </c>
      <c r="B5" s="2713" t="s">
        <v>2814</v>
      </c>
      <c r="C5" s="900" t="e">
        <f>ROUND(IF(E2="商业",C6*C7+C16,(IF(E2="住宅",C6*C12+C16,C6+C16))),0)</f>
        <v>#DIV/0!</v>
      </c>
      <c r="D5" s="1770" t="e">
        <f>ROUND(C6+C16,0)</f>
        <v>#DIV/0!</v>
      </c>
      <c r="E5" s="1770"/>
      <c r="F5" s="2714"/>
      <c r="G5" s="2715"/>
      <c r="H5" s="2715"/>
      <c r="I5" s="2715"/>
      <c r="J5" s="2716"/>
      <c r="K5" s="2717"/>
      <c r="L5" s="2709" t="s">
        <v>2815</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8"/>
      <c r="AD5" s="2719"/>
      <c r="AE5" s="2719"/>
      <c r="AF5" s="2719"/>
      <c r="AG5" s="2719"/>
      <c r="AH5" s="2719"/>
      <c r="AI5" s="2719"/>
      <c r="AJ5" s="2720"/>
    </row>
    <row r="6" spans="1:36" ht="15.75" thickBot="1">
      <c r="A6" s="2722" t="s">
        <v>2816</v>
      </c>
      <c r="B6" s="2723" t="s">
        <v>2817</v>
      </c>
      <c r="C6" s="901">
        <f>SUMIF(L1:L12,G2,M1:M12)</f>
        <v>0</v>
      </c>
      <c r="D6" s="2724" t="s">
        <v>2818</v>
      </c>
      <c r="E6" s="2725"/>
      <c r="F6" s="2725"/>
      <c r="G6" s="2726"/>
      <c r="H6" s="2726"/>
      <c r="I6" s="2726"/>
      <c r="J6" s="2727"/>
      <c r="K6" s="1825"/>
      <c r="L6" s="2709" t="s">
        <v>2819</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8"/>
      <c r="AD6" s="2719"/>
      <c r="AE6" s="2719"/>
      <c r="AF6" s="2719"/>
      <c r="AG6" s="2719"/>
      <c r="AH6" s="2719"/>
      <c r="AI6" s="2719"/>
      <c r="AJ6" s="2720"/>
    </row>
    <row r="7" spans="1:36" ht="24">
      <c r="A7" s="3297" t="str">
        <f>IF(E2="商业",IF(C8="不临58条商业街","",2),"")</f>
        <v/>
      </c>
      <c r="B7" s="2728" t="s">
        <v>2820</v>
      </c>
      <c r="C7" s="902" t="e">
        <f>IF(C8="不临58条商业街",1,ROUND(1+(1.6*E8+1.2*E9+0.8*E10+0.4*E11)*C9,4))</f>
        <v>#DIV/0!</v>
      </c>
      <c r="D7" s="2729" t="s">
        <v>2821</v>
      </c>
      <c r="E7" s="928"/>
      <c r="F7" s="2730"/>
      <c r="G7" s="2731"/>
      <c r="H7" s="2731"/>
      <c r="I7" s="2731"/>
      <c r="J7" s="2732"/>
      <c r="K7" s="1825"/>
      <c r="L7" s="2709" t="s">
        <v>2822</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2823</v>
      </c>
      <c r="X7" s="1587">
        <f>G2</f>
        <v>0</v>
      </c>
      <c r="Y7" s="1587" t="s">
        <v>2824</v>
      </c>
      <c r="Z7" s="1588" t="e">
        <f>G3</f>
        <v>#DIV/0!</v>
      </c>
      <c r="AA7" s="1589"/>
      <c r="AB7" s="1589"/>
      <c r="AC7" s="1590"/>
      <c r="AD7" s="1591"/>
      <c r="AE7" s="1591"/>
      <c r="AF7" s="1591"/>
      <c r="AG7" s="1591"/>
      <c r="AH7" s="1591"/>
      <c r="AI7" s="1591"/>
      <c r="AJ7" s="1592"/>
    </row>
    <row r="8" spans="1:36" ht="15">
      <c r="A8" s="3317"/>
      <c r="B8" s="189" t="s">
        <v>2825</v>
      </c>
      <c r="C8" s="2733"/>
      <c r="D8" s="903" t="s">
        <v>139</v>
      </c>
      <c r="E8" s="904" t="e">
        <f>ROUND(C11/E7,4)</f>
        <v>#DIV/0!</v>
      </c>
      <c r="F8" s="2734" t="s">
        <v>2826</v>
      </c>
      <c r="G8" s="2735"/>
      <c r="H8" s="2735"/>
      <c r="I8" s="2735"/>
      <c r="J8" s="2736"/>
      <c r="K8" s="1353"/>
      <c r="L8" s="2709" t="s">
        <v>2827</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310" t="s">
        <v>2828</v>
      </c>
      <c r="X8" s="3311"/>
      <c r="Y8" s="1593" t="s">
        <v>2829</v>
      </c>
      <c r="Z8" s="1593" t="s">
        <v>2830</v>
      </c>
      <c r="AA8" s="1593" t="s">
        <v>2831</v>
      </c>
      <c r="AB8" s="1593" t="s">
        <v>2832</v>
      </c>
      <c r="AC8" s="1593" t="s">
        <v>2833</v>
      </c>
      <c r="AD8" s="1593" t="s">
        <v>2834</v>
      </c>
      <c r="AE8" s="1593" t="s">
        <v>2835</v>
      </c>
      <c r="AF8" s="1593" t="s">
        <v>2836</v>
      </c>
      <c r="AG8" s="1593" t="s">
        <v>2837</v>
      </c>
      <c r="AH8" s="1593" t="s">
        <v>2838</v>
      </c>
      <c r="AI8" s="1593" t="s">
        <v>2839</v>
      </c>
      <c r="AJ8" s="1593" t="s">
        <v>2840</v>
      </c>
    </row>
    <row r="9" spans="1:36" ht="15">
      <c r="A9" s="3317"/>
      <c r="B9" s="189" t="s">
        <v>2841</v>
      </c>
      <c r="C9" s="905">
        <f>SUMIF(修正!C59:C119,C8,修正!E59:E119)</f>
        <v>0</v>
      </c>
      <c r="D9" s="191" t="s">
        <v>140</v>
      </c>
      <c r="E9" s="191" t="e">
        <f>ROUND(C11/E7,4)</f>
        <v>#DIV/0!</v>
      </c>
      <c r="F9" s="2734" t="s">
        <v>2842</v>
      </c>
      <c r="G9" s="2735"/>
      <c r="H9" s="2735"/>
      <c r="I9" s="2735"/>
      <c r="J9" s="2736"/>
      <c r="K9" s="1353"/>
      <c r="L9" s="2709" t="s">
        <v>2843</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312" t="s">
        <v>2844</v>
      </c>
      <c r="X9" s="1594" t="s">
        <v>2845</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317"/>
      <c r="B10" s="189" t="s">
        <v>2846</v>
      </c>
      <c r="C10" s="191">
        <f>SUMIF(修正!C59:C119,C8,修正!F59:F119)</f>
        <v>0</v>
      </c>
      <c r="D10" s="191" t="s">
        <v>141</v>
      </c>
      <c r="E10" s="191" t="e">
        <f>ROUND(C11/E7,4)</f>
        <v>#DIV/0!</v>
      </c>
      <c r="F10" s="2734" t="s">
        <v>2847</v>
      </c>
      <c r="G10" s="2735"/>
      <c r="H10" s="2735"/>
      <c r="I10" s="2735"/>
      <c r="J10" s="2736"/>
      <c r="K10" s="1353"/>
      <c r="L10" s="2709" t="s">
        <v>2848</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312"/>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75" thickBot="1">
      <c r="A11" s="3317"/>
      <c r="B11" s="2737" t="s">
        <v>2849</v>
      </c>
      <c r="C11" s="906">
        <f>C10/4</f>
        <v>0</v>
      </c>
      <c r="D11" s="906" t="s">
        <v>142</v>
      </c>
      <c r="E11" s="906" t="e">
        <f>ROUND(C11/E7,4)</f>
        <v>#DIV/0!</v>
      </c>
      <c r="F11" s="2738" t="s">
        <v>2850</v>
      </c>
      <c r="G11" s="2739"/>
      <c r="H11" s="2739"/>
      <c r="I11" s="2739"/>
      <c r="J11" s="2740"/>
      <c r="K11" s="1353"/>
      <c r="L11" s="2709" t="s">
        <v>2851</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312" t="s">
        <v>2852</v>
      </c>
      <c r="X11" s="1597" t="s">
        <v>2853</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5" thickBot="1">
      <c r="A12" s="3297" t="s">
        <v>2854</v>
      </c>
      <c r="B12" s="2741" t="s">
        <v>2855</v>
      </c>
      <c r="C12" s="902">
        <f>ROUND(C15*D15*E15*F15*G15*H15*I15*J15,4)</f>
        <v>1</v>
      </c>
      <c r="D12" s="2742" t="s">
        <v>2856</v>
      </c>
      <c r="E12" s="2743"/>
      <c r="F12" s="2743"/>
      <c r="G12" s="2744"/>
      <c r="H12" s="2744"/>
      <c r="I12" s="2744"/>
      <c r="J12" s="2745"/>
      <c r="K12" s="1353"/>
      <c r="L12" s="2746" t="s">
        <v>2857</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312"/>
      <c r="X12" s="1599" t="s">
        <v>2858</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318"/>
      <c r="B13" s="2747" t="s">
        <v>2859</v>
      </c>
      <c r="C13" s="2748" t="s">
        <v>2860</v>
      </c>
      <c r="D13" s="1791" t="s">
        <v>2861</v>
      </c>
      <c r="E13" s="1791" t="s">
        <v>2862</v>
      </c>
      <c r="F13" s="30" t="s">
        <v>2863</v>
      </c>
      <c r="G13" s="2749" t="s">
        <v>2864</v>
      </c>
      <c r="H13" s="2749" t="s">
        <v>2864</v>
      </c>
      <c r="I13" s="2749" t="s">
        <v>2864</v>
      </c>
      <c r="J13" s="2750" t="s">
        <v>2864</v>
      </c>
      <c r="K13" s="1353"/>
      <c r="L13" s="1353"/>
      <c r="M13" s="1353"/>
      <c r="N13" s="1353"/>
      <c r="O13" s="1353"/>
      <c r="P13" s="1353"/>
      <c r="Q13" s="1353"/>
      <c r="R13" s="1585">
        <v>12</v>
      </c>
      <c r="S13" s="1586"/>
      <c r="T13" s="1585" t="e">
        <f t="shared" si="0"/>
        <v>#DIV/0!</v>
      </c>
      <c r="U13" s="1586"/>
      <c r="V13" s="1585" t="e">
        <f t="shared" si="1"/>
        <v>#DIV/0!</v>
      </c>
      <c r="W13" s="3312"/>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318"/>
      <c r="B14" s="2751"/>
      <c r="C14" s="2752"/>
      <c r="D14" s="2753"/>
      <c r="E14" s="2753"/>
      <c r="F14" s="2754"/>
      <c r="G14" s="2755" t="s">
        <v>2865</v>
      </c>
      <c r="H14" s="2756"/>
      <c r="I14" s="2757"/>
      <c r="J14" s="2758"/>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75" thickBot="1">
      <c r="A15" s="3319"/>
      <c r="B15" s="2759" t="s">
        <v>2866</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297" t="s">
        <v>2871</v>
      </c>
      <c r="B16" s="2728" t="s">
        <v>2872</v>
      </c>
      <c r="C16" s="2915" t="e">
        <f>ROUND(IF(F17="与级别开发程度一致",0,(G17-E17)/C17),0)</f>
        <v>#DIV/0!</v>
      </c>
      <c r="D16" s="3308" t="s">
        <v>2876</v>
      </c>
      <c r="E16" s="3309"/>
      <c r="F16" s="3308" t="s">
        <v>2873</v>
      </c>
      <c r="G16" s="3309"/>
      <c r="H16" s="2762"/>
      <c r="I16" s="2762"/>
      <c r="J16" s="2919"/>
      <c r="K16" s="2762"/>
      <c r="L16" s="2762"/>
      <c r="M16" s="2762"/>
      <c r="N16" s="2762"/>
      <c r="O16" s="2763"/>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5" thickBot="1">
      <c r="A17" s="3298"/>
      <c r="B17" s="2926" t="s">
        <v>2875</v>
      </c>
      <c r="C17" s="2927">
        <f>SUMPRODUCT((修正!A2:A5=E2)*(修正!B1:M1=G2)*(修正!B2:M5))</f>
        <v>0</v>
      </c>
      <c r="D17" s="220"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3"/>
      <c r="R17" s="1353"/>
      <c r="S17" s="1353"/>
      <c r="T17" s="1353"/>
      <c r="U17" s="1353"/>
      <c r="V17" s="1353"/>
      <c r="W17" s="1353"/>
      <c r="X17" s="1353"/>
      <c r="Y17" s="1353"/>
      <c r="Z17" s="1354"/>
      <c r="AE17" s="2766"/>
      <c r="AF17" s="2766"/>
      <c r="AG17" s="2703"/>
      <c r="AH17" s="2703"/>
      <c r="AI17" s="2703"/>
      <c r="AJ17" s="2703"/>
    </row>
    <row r="18" spans="1:37" s="2721" customFormat="1" ht="15.75" thickBot="1">
      <c r="A18" s="2920" t="s">
        <v>808</v>
      </c>
      <c r="B18" s="2921" t="s">
        <v>2878</v>
      </c>
      <c r="C18" s="2922">
        <f>SUMIF(修正!C18:C39,E3,修正!E18:E39)</f>
        <v>0</v>
      </c>
      <c r="D18" s="2923"/>
      <c r="E18" s="2924"/>
      <c r="F18" s="2924"/>
      <c r="G18" s="2924"/>
      <c r="H18" s="2924"/>
      <c r="I18" s="2924"/>
      <c r="J18" s="2925"/>
      <c r="K18" s="1360"/>
      <c r="O18" s="1358"/>
      <c r="P18" s="1358"/>
      <c r="Q18" s="1359"/>
      <c r="R18" s="1359"/>
      <c r="S18" s="1359"/>
      <c r="T18" s="1354"/>
      <c r="U18" s="1354"/>
      <c r="V18" s="1354"/>
      <c r="W18" s="1353"/>
      <c r="X18" s="1353"/>
      <c r="Y18" s="1353"/>
      <c r="Z18" s="1360"/>
      <c r="AA18" s="1361"/>
      <c r="AB18" s="1361"/>
      <c r="AC18" s="1361"/>
      <c r="AD18" s="1361"/>
      <c r="AE18" s="1355"/>
      <c r="AF18" s="1355"/>
      <c r="AG18" s="2771"/>
      <c r="AH18" s="2771"/>
      <c r="AI18" s="2771"/>
    </row>
    <row r="19" spans="1:37" s="2721" customFormat="1" ht="27.75" thickBot="1">
      <c r="A19" s="2767" t="s">
        <v>809</v>
      </c>
      <c r="B19" s="2768" t="s">
        <v>2879</v>
      </c>
      <c r="C19" s="907" t="e">
        <f>ROUND(IF(H19="按公示增长率计算",SUMPRODUCT((地价!A3:A29=YEAR(G19)&amp;"-"&amp;ROUNDUP(MONTH(G19)/3,0))*(地价!X2:AB2=E2)*(地价!X3:AB29)),IF(H19="地价指数",M20/M19,(1+I19)^O19)),4)</f>
        <v>#VALUE!</v>
      </c>
      <c r="D19" s="2772" t="s">
        <v>2880</v>
      </c>
      <c r="E19" s="908">
        <v>41640</v>
      </c>
      <c r="F19" s="2772" t="s">
        <v>2881</v>
      </c>
      <c r="G19" s="909">
        <f>'数据-取费表'!B2</f>
        <v>43886</v>
      </c>
      <c r="H19" s="2773"/>
      <c r="I19" s="910" t="str">
        <f>IF(H19="季度增幅（自定义）",SUMIF(N21:N24,E2,O21:O24),"")</f>
        <v/>
      </c>
      <c r="J19" s="2770"/>
      <c r="K19" s="1360"/>
      <c r="L19" s="2774" t="s">
        <v>2882</v>
      </c>
      <c r="M19" s="1717">
        <f>ROUND(SUMIF(地价!B2:F2,E2,地价!B29:F29),0)</f>
        <v>0</v>
      </c>
      <c r="N19" s="2775" t="s">
        <v>2883</v>
      </c>
      <c r="O19" s="911">
        <f>ROUNDDOWN(DATEDIF(E19,G19,"M")/3,0)</f>
        <v>24</v>
      </c>
      <c r="P19" s="1357"/>
      <c r="Q19" s="1359"/>
      <c r="R19" s="1359"/>
      <c r="S19" s="1359"/>
      <c r="T19" s="1354"/>
      <c r="U19" s="1354"/>
      <c r="V19" s="1354"/>
      <c r="W19" s="1353"/>
      <c r="X19" s="1353"/>
      <c r="Y19" s="1353"/>
      <c r="Z19" s="1360"/>
      <c r="AA19" s="1361"/>
      <c r="AB19" s="1361"/>
      <c r="AC19" s="1361"/>
      <c r="AD19" s="1361"/>
      <c r="AE19" s="1361"/>
      <c r="AF19" s="2776"/>
      <c r="AG19" s="2777"/>
      <c r="AH19" s="2771"/>
      <c r="AI19" s="2778"/>
      <c r="AJ19" s="2778"/>
      <c r="AK19" s="2778"/>
    </row>
    <row r="20" spans="1:37" s="2721" customFormat="1" ht="27.75" thickBot="1">
      <c r="A20" s="2779" t="s">
        <v>810</v>
      </c>
      <c r="B20" s="2780" t="s">
        <v>2884</v>
      </c>
      <c r="C20" s="912" t="e">
        <f>ROUND(POWER(1+G20,J20-I20)*(POWER(1+G20,I20)-1)/(POWER(1+G20,J20)-1),4)</f>
        <v>#DIV/0!</v>
      </c>
      <c r="D20" s="2781" t="s">
        <v>2885</v>
      </c>
      <c r="E20" s="1751">
        <f ca="1">存贷款利率!D4/100</f>
        <v>4.3499999999999997E-2</v>
      </c>
      <c r="F20" s="2781" t="s">
        <v>2877</v>
      </c>
      <c r="G20" s="917">
        <f>SUMIF(M26:P26,E2,M28:P28)</f>
        <v>0</v>
      </c>
      <c r="H20" s="2781" t="s">
        <v>2886</v>
      </c>
      <c r="I20" s="918" t="e">
        <f>SUMIF('数据-取费表'!C6:C15,E2,'数据-取费表'!F6:F15)/COUNTIF('数据-取费表'!C6:C15,E2)</f>
        <v>#DIV/0!</v>
      </c>
      <c r="J20" s="919">
        <f>IF(E2="住宅",70,IF(E2="商业",40,50))</f>
        <v>50</v>
      </c>
      <c r="K20" s="1360"/>
      <c r="L20" s="2782" t="s">
        <v>2887</v>
      </c>
      <c r="M20" s="1718">
        <f>ROUND(SUMPRODUCT((地价!A4:A29=YEAR(G19)&amp;"-"&amp;ROUNDUP(MONTH(G19)/3,0))*(地价!B2:F2=E2)*(地价!B4:F29)),0)</f>
        <v>0</v>
      </c>
      <c r="N20" s="2783" t="s">
        <v>2888</v>
      </c>
      <c r="O20" s="2784" t="s">
        <v>2889</v>
      </c>
      <c r="P20" s="2785" t="s">
        <v>2890</v>
      </c>
      <c r="R20" s="1359"/>
      <c r="S20" s="1359"/>
      <c r="T20" s="1354"/>
      <c r="U20" s="1354"/>
      <c r="V20" s="1354"/>
      <c r="W20" s="1353"/>
      <c r="X20" s="1353"/>
      <c r="Y20" s="1353"/>
      <c r="Z20" s="1360"/>
      <c r="AA20" s="1361"/>
      <c r="AB20" s="1361"/>
      <c r="AC20" s="1361"/>
      <c r="AD20" s="1361"/>
      <c r="AE20" s="1361"/>
      <c r="AF20" s="1361"/>
    </row>
    <row r="21" spans="1:37" s="2721" customFormat="1" ht="15">
      <c r="A21" s="2786" t="s">
        <v>811</v>
      </c>
      <c r="B21" s="2787" t="s">
        <v>2891</v>
      </c>
      <c r="C21" s="920" t="e">
        <f>IF(B21="容积率修正",IF(G3&lt;=10,D22,J22),C23)</f>
        <v>#DIV/0!</v>
      </c>
      <c r="D21" s="2788"/>
      <c r="E21" s="2788"/>
      <c r="F21" s="2788"/>
      <c r="G21" s="2788"/>
      <c r="H21" s="2788"/>
      <c r="I21" s="2788"/>
      <c r="J21" s="2789"/>
      <c r="K21" s="1360"/>
      <c r="N21" s="2790" t="s">
        <v>2892</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1" customFormat="1" ht="14.25">
      <c r="A22" s="2647" t="s">
        <v>2893</v>
      </c>
      <c r="B22" s="2791" t="s">
        <v>2894</v>
      </c>
      <c r="C22" s="1793" t="s">
        <v>2895</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0" t="s">
        <v>2896</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7.75" thickBot="1">
      <c r="A23" s="2647" t="s">
        <v>2897</v>
      </c>
      <c r="B23" s="2792" t="s">
        <v>2898</v>
      </c>
      <c r="C23" s="996" t="e">
        <f>ROUND(IF(G3&gt;1,IF(I3&lt;7,SUMPRODUCT((B93:B98=I3)*(C92:N92=G2)*(C93:N98)),SUMIF(C92:N92,G2,C100:N100)),IF(I3&lt;7,SUMPRODUCT((B102:B107=I3)*(C92:N92=G2)*(C102:N107)),SUMIF(C92:N92,G2,C109:N109))),4)</f>
        <v>#DIV/0!</v>
      </c>
      <c r="D23" s="2756"/>
      <c r="E23" s="2756"/>
      <c r="F23" s="2793"/>
      <c r="G23" s="2794"/>
      <c r="H23" s="2795"/>
      <c r="I23" s="2796"/>
      <c r="J23" s="2797"/>
      <c r="K23" s="1353"/>
      <c r="N23" s="2790" t="s">
        <v>2899</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1"/>
    </row>
    <row r="24" spans="1:37" s="2721" customFormat="1" ht="15.75" thickBot="1">
      <c r="A24" s="2779" t="s">
        <v>812</v>
      </c>
      <c r="B24" s="2768" t="s">
        <v>2900</v>
      </c>
      <c r="C24" s="907">
        <f>SUMIF(A45:A88,E2,B45:B88)</f>
        <v>0</v>
      </c>
      <c r="D24" s="2769"/>
      <c r="E24" s="2798"/>
      <c r="F24" s="2798"/>
      <c r="G24" s="2798"/>
      <c r="H24" s="2798"/>
      <c r="I24" s="2798"/>
      <c r="J24" s="2799"/>
      <c r="K24" s="1360"/>
      <c r="N24" s="2800" t="s">
        <v>2901</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75" thickBot="1">
      <c r="A25" s="2779" t="s">
        <v>813</v>
      </c>
      <c r="B25" s="2801" t="s">
        <v>2902</v>
      </c>
      <c r="C25" s="913"/>
      <c r="D25" s="2731"/>
      <c r="E25" s="2731"/>
      <c r="F25" s="2802"/>
      <c r="G25" s="2731"/>
      <c r="H25" s="2731"/>
      <c r="I25" s="2731"/>
      <c r="J25" s="2732"/>
      <c r="K25" s="1353"/>
      <c r="N25" s="2803" t="s">
        <v>2903</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5">
      <c r="A26" s="2804"/>
      <c r="B26" s="2791" t="s">
        <v>2904</v>
      </c>
      <c r="C26" s="197" t="e">
        <f>E29+SUM(E33:E39)</f>
        <v>#DIV/0!</v>
      </c>
      <c r="D26" s="2805"/>
      <c r="E26" s="2756"/>
      <c r="F26" s="2806"/>
      <c r="G26" s="2756"/>
      <c r="H26" s="2756"/>
      <c r="I26" s="2756"/>
      <c r="J26" s="2807"/>
      <c r="K26" s="1353"/>
      <c r="L26" s="2760" t="s">
        <v>2802</v>
      </c>
      <c r="M26" s="903" t="s">
        <v>2867</v>
      </c>
      <c r="N26" s="903" t="s">
        <v>2868</v>
      </c>
      <c r="O26" s="903" t="s">
        <v>2869</v>
      </c>
      <c r="P26" s="2761" t="s">
        <v>2870</v>
      </c>
      <c r="R26" s="1359"/>
      <c r="S26" s="1359"/>
      <c r="T26" s="1354"/>
      <c r="U26" s="1354"/>
      <c r="V26" s="1354"/>
      <c r="W26" s="1353"/>
      <c r="X26" s="1353"/>
      <c r="Y26" s="1353"/>
      <c r="Z26" s="1360"/>
      <c r="AA26" s="1361"/>
      <c r="AB26" s="1361"/>
      <c r="AC26" s="1361"/>
      <c r="AD26" s="1361"/>
    </row>
    <row r="27" spans="1:37" ht="15.75" thickBot="1">
      <c r="A27" s="2804"/>
      <c r="B27" s="2808" t="s">
        <v>2905</v>
      </c>
      <c r="C27" s="914" t="e">
        <f>E30+SUM(I33:I39)</f>
        <v>#DIV/0!</v>
      </c>
      <c r="D27" s="2809"/>
      <c r="E27" s="2810"/>
      <c r="F27" s="2811"/>
      <c r="G27" s="2810"/>
      <c r="H27" s="2810"/>
      <c r="I27" s="2810"/>
      <c r="J27" s="2812"/>
      <c r="K27" s="1353"/>
      <c r="L27" s="2764" t="s">
        <v>2874</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75" thickBot="1">
      <c r="A28" s="2813"/>
      <c r="B28" s="2814" t="s">
        <v>2906</v>
      </c>
      <c r="C28" s="2815" t="s">
        <v>2907</v>
      </c>
      <c r="D28" s="2815" t="s">
        <v>2908</v>
      </c>
      <c r="E28" s="2816" t="s">
        <v>2909</v>
      </c>
      <c r="F28" s="2817"/>
      <c r="G28" s="2744"/>
      <c r="H28" s="2744"/>
      <c r="I28" s="2744"/>
      <c r="J28" s="2745"/>
      <c r="K28" s="1353"/>
      <c r="L28" s="2765" t="s">
        <v>2877</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8"/>
      <c r="B29" s="2819" t="s">
        <v>2910</v>
      </c>
      <c r="C29" s="197" t="e">
        <f>ROUND(C5*C18*C19*C20*C21*C24,0)</f>
        <v>#DIV/0!</v>
      </c>
      <c r="D29" s="2820"/>
      <c r="E29" s="925" t="e">
        <f>ROUND(C29*D29/10000,0)</f>
        <v>#DIV/0!</v>
      </c>
      <c r="F29" s="2821" t="s">
        <v>2911</v>
      </c>
      <c r="G29" s="2822"/>
      <c r="H29" s="2822"/>
      <c r="I29" s="2822"/>
      <c r="J29" s="2823"/>
      <c r="K29" s="1353"/>
      <c r="L29" s="1353"/>
      <c r="M29" s="1353"/>
      <c r="N29" s="1353"/>
      <c r="O29" s="1358"/>
      <c r="P29" s="1358"/>
      <c r="Q29" s="1359"/>
      <c r="R29" s="1359"/>
      <c r="S29" s="1359"/>
      <c r="T29" s="1354"/>
      <c r="U29" s="1354"/>
      <c r="V29" s="1354"/>
      <c r="W29" s="1353"/>
      <c r="X29" s="1353"/>
      <c r="Y29" s="1353"/>
      <c r="Z29" s="1360"/>
      <c r="AA29" s="1361"/>
      <c r="AB29" s="1361"/>
      <c r="AC29" s="1361"/>
      <c r="AD29" s="1361"/>
      <c r="AE29" s="2766"/>
      <c r="AF29" s="2766"/>
      <c r="AG29" s="2703"/>
      <c r="AH29" s="2703"/>
      <c r="AI29" s="2703"/>
      <c r="AJ29" s="2703"/>
    </row>
    <row r="30" spans="1:37" ht="25.5" thickBot="1">
      <c r="A30" s="2824"/>
      <c r="B30" s="2825" t="s">
        <v>2912</v>
      </c>
      <c r="C30" s="220" t="e">
        <f>ROUND(IF(E2="工业",C29*M39,C29*M38),0)</f>
        <v>#DIV/0!</v>
      </c>
      <c r="D30" s="2826"/>
      <c r="E30" s="925" t="e">
        <f>ROUND(C30*D30/10000,0)</f>
        <v>#DIV/0!</v>
      </c>
      <c r="F30" s="2827" t="s">
        <v>2913</v>
      </c>
      <c r="G30" s="2828"/>
      <c r="H30" s="2828"/>
      <c r="I30" s="2828"/>
      <c r="J30" s="2829"/>
      <c r="K30" s="1353"/>
      <c r="L30" s="1353"/>
      <c r="M30" s="1353"/>
      <c r="N30" s="1353"/>
      <c r="O30" s="1358"/>
      <c r="P30" s="1358"/>
      <c r="Q30" s="1359"/>
      <c r="R30" s="1359"/>
      <c r="S30" s="1359"/>
      <c r="T30" s="1354"/>
      <c r="U30" s="1354"/>
      <c r="V30" s="1354"/>
      <c r="W30" s="1353"/>
      <c r="X30" s="1353"/>
      <c r="Y30" s="1353"/>
      <c r="Z30" s="1360"/>
      <c r="AA30" s="1361"/>
      <c r="AB30" s="1361"/>
      <c r="AC30" s="1361"/>
      <c r="AD30" s="1361"/>
      <c r="AE30" s="2766"/>
      <c r="AF30" s="2766"/>
      <c r="AG30" s="2703"/>
      <c r="AH30" s="2703"/>
      <c r="AI30" s="2703"/>
      <c r="AJ30" s="2703"/>
    </row>
    <row r="31" spans="1:37" ht="14.25">
      <c r="A31" s="2830"/>
      <c r="B31" s="2831" t="s">
        <v>2914</v>
      </c>
      <c r="C31" s="2832" t="s">
        <v>2915</v>
      </c>
      <c r="D31" s="2744"/>
      <c r="E31" s="2832"/>
      <c r="F31" s="2832"/>
      <c r="G31" s="2742" t="s">
        <v>2916</v>
      </c>
      <c r="H31" s="2744"/>
      <c r="I31" s="2833"/>
      <c r="J31" s="2745"/>
      <c r="K31" s="1353"/>
      <c r="L31" s="1353"/>
      <c r="M31" s="1353"/>
      <c r="N31" s="1353"/>
      <c r="O31" s="1358"/>
      <c r="P31" s="1358"/>
      <c r="Q31" s="1359"/>
      <c r="R31" s="1359"/>
      <c r="S31" s="1359"/>
      <c r="T31" s="1354"/>
      <c r="U31" s="1354"/>
      <c r="V31" s="1354"/>
      <c r="W31" s="1353"/>
      <c r="X31" s="1353"/>
      <c r="Y31" s="1353"/>
      <c r="Z31" s="1360"/>
      <c r="AA31" s="1361"/>
      <c r="AB31" s="1361"/>
      <c r="AC31" s="1361"/>
      <c r="AD31" s="1361"/>
      <c r="AE31" s="2766"/>
      <c r="AF31" s="2766"/>
      <c r="AG31" s="2703"/>
      <c r="AH31" s="2703"/>
      <c r="AI31" s="2703"/>
      <c r="AJ31" s="2703"/>
    </row>
    <row r="32" spans="1:37" ht="24">
      <c r="A32" s="2818"/>
      <c r="B32" s="2834"/>
      <c r="C32" s="492" t="s">
        <v>2907</v>
      </c>
      <c r="D32" s="489" t="s">
        <v>2908</v>
      </c>
      <c r="E32" s="489" t="s">
        <v>2909</v>
      </c>
      <c r="F32" s="379" t="s">
        <v>2917</v>
      </c>
      <c r="G32" s="2835" t="s">
        <v>2907</v>
      </c>
      <c r="H32" s="2835" t="s">
        <v>2908</v>
      </c>
      <c r="I32" s="2835" t="s">
        <v>2909</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6"/>
      <c r="AF32" s="2766"/>
      <c r="AG32" s="2703"/>
      <c r="AH32" s="2703"/>
      <c r="AI32" s="2703"/>
      <c r="AJ32" s="2703"/>
    </row>
    <row r="33" spans="1:37" ht="36" customHeight="1">
      <c r="A33" s="3305" t="s">
        <v>2918</v>
      </c>
      <c r="B33" s="2836" t="s">
        <v>2919</v>
      </c>
      <c r="C33" s="197" t="e">
        <f>ROUND(D5*C19*C20*C24*F33,0)</f>
        <v>#DIV/0!</v>
      </c>
      <c r="D33" s="2820"/>
      <c r="E33" s="191" t="e">
        <f>ROUND(C33*D33/10000,0)</f>
        <v>#DIV/0!</v>
      </c>
      <c r="F33" s="191">
        <f>SUMIF(修正!A45:A56,G2,修正!B45:B56)</f>
        <v>0</v>
      </c>
      <c r="G33" s="191" t="e">
        <f t="shared" ref="G33" si="6">ROUND(IF(E2="工业",C33*$M$39,C33*$M$38),0)</f>
        <v>#DIV/0!</v>
      </c>
      <c r="H33" s="191">
        <f>D33</f>
        <v>0</v>
      </c>
      <c r="I33" s="191" t="e">
        <f>ROUND(G33*H33/10000,0)</f>
        <v>#DIV/0!</v>
      </c>
      <c r="J33" s="2837"/>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4.25">
      <c r="A34" s="3306"/>
      <c r="B34" s="2748" t="s">
        <v>2920</v>
      </c>
      <c r="C34" s="197" t="e">
        <f>ROUND(D5*C19*C20*C24*F34,0)</f>
        <v>#DIV/0!</v>
      </c>
      <c r="D34" s="2820"/>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7"/>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306"/>
      <c r="B35" s="2748" t="s">
        <v>2921</v>
      </c>
      <c r="C35" s="197" t="e">
        <f>ROUND(D5*C19*C20*C24*F35,0)</f>
        <v>#DIV/0!</v>
      </c>
      <c r="D35" s="2820"/>
      <c r="E35" s="191" t="e">
        <f t="shared" si="7"/>
        <v>#DIV/0!</v>
      </c>
      <c r="F35" s="191">
        <f>SUMIF(修正!A45:A56,G2,修正!D45:D56)</f>
        <v>0</v>
      </c>
      <c r="G35" s="191" t="e">
        <f>ROUND(IF(E2="工业",C35*$M$39,C35*$M$38),0)</f>
        <v>#DIV/0!</v>
      </c>
      <c r="H35" s="191">
        <f t="shared" si="8"/>
        <v>0</v>
      </c>
      <c r="I35" s="191" t="e">
        <f t="shared" si="9"/>
        <v>#DIV/0!</v>
      </c>
      <c r="J35" s="2837"/>
      <c r="K35" s="1353"/>
      <c r="L35" s="1353"/>
      <c r="M35" s="1353"/>
      <c r="N35" s="1353"/>
      <c r="O35" s="1353"/>
      <c r="P35" s="1353"/>
      <c r="Q35" s="1353"/>
      <c r="R35" s="1353"/>
      <c r="S35" s="1353"/>
      <c r="T35" s="1353"/>
      <c r="U35" s="1353"/>
      <c r="V35" s="1353"/>
      <c r="W35" s="1353"/>
      <c r="X35" s="1353"/>
      <c r="Y35" s="1353"/>
      <c r="Z35" s="1354"/>
    </row>
    <row r="36" spans="1:37" ht="13.5" thickBot="1">
      <c r="A36" s="3307"/>
      <c r="B36" s="2748" t="s">
        <v>2922</v>
      </c>
      <c r="C36" s="197" t="e">
        <f>ROUND(D5*C19*C20*C24*F36,0)</f>
        <v>#DIV/0!</v>
      </c>
      <c r="D36" s="2820"/>
      <c r="E36" s="191" t="e">
        <f t="shared" si="7"/>
        <v>#DIV/0!</v>
      </c>
      <c r="F36" s="191">
        <f>SUMIF(修正!A45:A56,G2,修正!E45:E56)</f>
        <v>0</v>
      </c>
      <c r="G36" s="191" t="e">
        <f>ROUND(IF(E2="工业",C36*$M$39,C36*$M$38),0)</f>
        <v>#DIV/0!</v>
      </c>
      <c r="H36" s="191">
        <f t="shared" si="8"/>
        <v>0</v>
      </c>
      <c r="I36" s="191" t="e">
        <f t="shared" si="9"/>
        <v>#DIV/0!</v>
      </c>
      <c r="J36" s="2837"/>
      <c r="K36" s="1353"/>
      <c r="L36" s="2702"/>
      <c r="M36" s="2702"/>
      <c r="N36" s="1353"/>
      <c r="O36" s="1353"/>
      <c r="P36" s="1353"/>
      <c r="Q36" s="1353"/>
      <c r="R36" s="1353"/>
      <c r="S36" s="1353"/>
      <c r="T36" s="1353"/>
      <c r="U36" s="1353"/>
      <c r="V36" s="1353"/>
      <c r="W36" s="1353"/>
      <c r="X36" s="1353"/>
      <c r="Y36" s="1353"/>
      <c r="Z36" s="1354"/>
    </row>
    <row r="37" spans="1:37">
      <c r="A37" s="2838"/>
      <c r="B37" s="2748" t="s">
        <v>2923</v>
      </c>
      <c r="C37" s="191" t="e">
        <f>ROUND(D5*C19*C20*C24*F37,0)</f>
        <v>#DIV/0!</v>
      </c>
      <c r="D37" s="2820"/>
      <c r="E37" s="191" t="e">
        <f t="shared" si="7"/>
        <v>#DIV/0!</v>
      </c>
      <c r="F37" s="197">
        <f>SUMIF(修正!A45:A56,G2,修正!F45:F56)</f>
        <v>0</v>
      </c>
      <c r="G37" s="191" t="e">
        <f>ROUND(IF(E2="工业",C37*$M$39,C37*$M$38),0)</f>
        <v>#DIV/0!</v>
      </c>
      <c r="H37" s="191">
        <f t="shared" si="8"/>
        <v>0</v>
      </c>
      <c r="I37" s="191" t="e">
        <f t="shared" si="9"/>
        <v>#DIV/0!</v>
      </c>
      <c r="J37" s="2837"/>
      <c r="K37" s="1353"/>
      <c r="L37" s="2839" t="s">
        <v>2924</v>
      </c>
      <c r="M37" s="2840"/>
      <c r="N37" s="1353"/>
      <c r="O37" s="1353"/>
      <c r="P37" s="1353"/>
      <c r="Q37" s="1353"/>
      <c r="R37" s="1353"/>
      <c r="S37" s="1353"/>
      <c r="T37" s="1353"/>
      <c r="U37" s="1353"/>
      <c r="V37" s="1353"/>
      <c r="W37" s="1353"/>
      <c r="X37" s="1353"/>
      <c r="Y37" s="1353"/>
      <c r="Z37" s="1354"/>
    </row>
    <row r="38" spans="1:37">
      <c r="A38" s="2838"/>
      <c r="B38" s="2748" t="s">
        <v>2925</v>
      </c>
      <c r="C38" s="191" t="e">
        <f>ROUND(D5*C19*C41*C24*F38,0)</f>
        <v>#DIV/0!</v>
      </c>
      <c r="D38" s="2820"/>
      <c r="E38" s="191" t="e">
        <f t="shared" si="7"/>
        <v>#DIV/0!</v>
      </c>
      <c r="F38" s="197">
        <f>SUMIF(修正!A45:A56,G2,修正!G45:G56)</f>
        <v>0</v>
      </c>
      <c r="G38" s="191" t="e">
        <f>ROUND(IF(E2="工业",C38*$M$39,C38*$M$38),0)</f>
        <v>#DIV/0!</v>
      </c>
      <c r="H38" s="191">
        <f t="shared" si="8"/>
        <v>0</v>
      </c>
      <c r="I38" s="191" t="e">
        <f t="shared" si="9"/>
        <v>#DIV/0!</v>
      </c>
      <c r="J38" s="2837"/>
      <c r="K38" s="1353"/>
      <c r="L38" s="1870" t="s">
        <v>2926</v>
      </c>
      <c r="M38" s="2841">
        <v>0.25</v>
      </c>
      <c r="N38" s="1353"/>
      <c r="O38" s="1353"/>
      <c r="P38" s="1353"/>
      <c r="Q38" s="1353"/>
      <c r="R38" s="1353"/>
      <c r="S38" s="1353"/>
      <c r="T38" s="1353"/>
      <c r="U38" s="1353"/>
      <c r="V38" s="1353"/>
      <c r="W38" s="1353"/>
      <c r="X38" s="1353"/>
      <c r="Y38" s="1353"/>
      <c r="Z38" s="1354"/>
    </row>
    <row r="39" spans="1:37" ht="13.5" thickBot="1">
      <c r="A39" s="2824"/>
      <c r="B39" s="2842" t="s">
        <v>2927</v>
      </c>
      <c r="C39" s="220" t="e">
        <f>ROUND(D5*C19*C41*C24*F39,0)</f>
        <v>#DIV/0!</v>
      </c>
      <c r="D39" s="2826"/>
      <c r="E39" s="220" t="e">
        <f t="shared" si="7"/>
        <v>#DIV/0!</v>
      </c>
      <c r="F39" s="915">
        <f>SUMIF(修正!A45:A56,G2,修正!H45:H56)</f>
        <v>0</v>
      </c>
      <c r="G39" s="220" t="e">
        <f>ROUND(IF(E2="工业",C39*$M$39,C39*$M$38),0)</f>
        <v>#DIV/0!</v>
      </c>
      <c r="H39" s="220">
        <f t="shared" si="8"/>
        <v>0</v>
      </c>
      <c r="I39" s="220" t="e">
        <f t="shared" si="9"/>
        <v>#DIV/0!</v>
      </c>
      <c r="J39" s="2843"/>
      <c r="K39" s="1353"/>
      <c r="L39" s="2844" t="s">
        <v>2870</v>
      </c>
      <c r="M39" s="2845">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c r="A41" s="1354"/>
      <c r="B41" s="2913" t="s">
        <v>3031</v>
      </c>
      <c r="C41" s="379" t="e">
        <f>ROUND(POWER(1+E41,H41-G41)*(POWER(1+E41,G41)-1)/(POWER(1+E41,H41)-1),4)</f>
        <v>#DIV/0!</v>
      </c>
      <c r="D41" s="191" t="s">
        <v>2877</v>
      </c>
      <c r="E41" s="2912">
        <f>G20</f>
        <v>0</v>
      </c>
      <c r="F41" s="191" t="s">
        <v>2886</v>
      </c>
      <c r="G41" s="209"/>
      <c r="H41" s="191">
        <v>50</v>
      </c>
      <c r="Z41" s="1354"/>
      <c r="AA41" s="1354"/>
      <c r="AB41" s="1354"/>
      <c r="AC41" s="1354"/>
      <c r="AD41" s="1354"/>
      <c r="AE41" s="1354"/>
      <c r="AF41" s="1354"/>
      <c r="AG41" s="1354"/>
      <c r="AH41" s="1354"/>
      <c r="AI41" s="1354"/>
      <c r="AJ41" s="1354"/>
    </row>
    <row r="42" spans="1:37" s="1353" customFormat="1">
      <c r="A42" s="1354"/>
      <c r="B42" s="2846"/>
      <c r="Z42" s="1354"/>
      <c r="AA42" s="1354"/>
      <c r="AB42" s="1354"/>
      <c r="AC42" s="1354"/>
      <c r="AD42" s="1354"/>
      <c r="AE42" s="1354"/>
      <c r="AF42" s="1354"/>
      <c r="AG42" s="1354"/>
      <c r="AH42" s="1354"/>
      <c r="AI42" s="1354"/>
      <c r="AJ42" s="1354"/>
    </row>
    <row r="43" spans="1:37" s="1353" customFormat="1">
      <c r="A43" s="1354"/>
      <c r="B43" s="2846"/>
      <c r="Z43" s="1354"/>
      <c r="AA43" s="1354"/>
      <c r="AB43" s="1354"/>
      <c r="AC43" s="1354"/>
      <c r="AD43" s="1354"/>
      <c r="AE43" s="1354"/>
      <c r="AF43" s="1354"/>
      <c r="AG43" s="1354"/>
      <c r="AH43" s="1354"/>
      <c r="AI43" s="1354"/>
      <c r="AJ43" s="1354"/>
    </row>
    <row r="44" spans="1:37" s="1353" customFormat="1">
      <c r="A44" s="1354"/>
      <c r="B44" s="2846"/>
      <c r="Z44" s="1354"/>
      <c r="AA44" s="1354"/>
      <c r="AB44" s="1354"/>
      <c r="AC44" s="1354"/>
      <c r="AD44" s="1354"/>
      <c r="AE44" s="1354"/>
      <c r="AF44" s="1354"/>
      <c r="AG44" s="1354"/>
      <c r="AH44" s="1354"/>
      <c r="AI44" s="1354"/>
      <c r="AJ44" s="1354"/>
    </row>
    <row r="45" spans="1:37" s="1353" customFormat="1" ht="15.75" thickBot="1">
      <c r="A45" s="2847" t="s">
        <v>2928</v>
      </c>
      <c r="B45" s="2848"/>
      <c r="C45" s="7"/>
      <c r="D45" s="7"/>
      <c r="E45" s="7"/>
      <c r="F45" s="6"/>
      <c r="G45" s="6"/>
      <c r="H45" s="6"/>
      <c r="I45" s="7"/>
      <c r="J45" s="7"/>
      <c r="K45" s="7"/>
      <c r="L45" s="7"/>
      <c r="M45" s="7"/>
      <c r="N45" s="2766"/>
      <c r="Z45" s="1354"/>
      <c r="AA45" s="1354"/>
      <c r="AB45" s="1354"/>
      <c r="AC45" s="1354"/>
      <c r="AD45" s="1354"/>
      <c r="AE45" s="1354"/>
      <c r="AF45" s="1354"/>
      <c r="AG45" s="1354"/>
      <c r="AH45" s="1354"/>
      <c r="AI45" s="1354"/>
      <c r="AJ45" s="1354"/>
    </row>
    <row r="46" spans="1:37" s="1353" customFormat="1" ht="15">
      <c r="A46" s="2849" t="s">
        <v>2929</v>
      </c>
      <c r="B46" s="2850">
        <f>1+E48</f>
        <v>1</v>
      </c>
      <c r="C46" s="2851"/>
      <c r="D46" s="797"/>
      <c r="E46" s="798"/>
      <c r="F46" s="2852"/>
      <c r="G46" s="6"/>
      <c r="H46" s="7"/>
      <c r="I46" s="7"/>
      <c r="J46" s="7"/>
      <c r="K46" s="7"/>
      <c r="L46" s="7"/>
      <c r="M46" s="7"/>
      <c r="N46" s="2766"/>
      <c r="Z46" s="1354"/>
      <c r="AA46" s="1354"/>
      <c r="AB46" s="1354"/>
      <c r="AC46" s="1354"/>
      <c r="AD46" s="1354"/>
      <c r="AE46" s="1354"/>
      <c r="AF46" s="1354"/>
      <c r="AG46" s="1354"/>
      <c r="AH46" s="1354"/>
      <c r="AI46" s="1354"/>
      <c r="AJ46" s="1354"/>
    </row>
    <row r="47" spans="1:37" s="1353" customFormat="1" ht="24.75">
      <c r="A47" s="2853" t="s">
        <v>2930</v>
      </c>
      <c r="B47" s="1792" t="s">
        <v>2931</v>
      </c>
      <c r="C47" s="1792" t="s">
        <v>2932</v>
      </c>
      <c r="D47" s="1792" t="s">
        <v>2933</v>
      </c>
      <c r="E47" s="802" t="s">
        <v>2934</v>
      </c>
      <c r="F47" s="2854" t="s">
        <v>2935</v>
      </c>
      <c r="G47" s="1792" t="s">
        <v>754</v>
      </c>
      <c r="H47" s="2855" t="s">
        <v>2936</v>
      </c>
      <c r="I47" s="1792" t="s">
        <v>2937</v>
      </c>
      <c r="J47" s="594" t="s">
        <v>2585</v>
      </c>
      <c r="K47" s="594" t="s">
        <v>2586</v>
      </c>
      <c r="L47" s="594" t="s">
        <v>2587</v>
      </c>
      <c r="M47" s="594" t="s">
        <v>2588</v>
      </c>
      <c r="N47" s="594" t="s">
        <v>2589</v>
      </c>
      <c r="AA47" s="1354"/>
      <c r="AB47" s="1354"/>
      <c r="AC47" s="1354"/>
      <c r="AD47" s="1354"/>
      <c r="AE47" s="1354"/>
      <c r="AF47" s="1354"/>
      <c r="AG47" s="1354"/>
      <c r="AH47" s="1354"/>
      <c r="AI47" s="1354"/>
      <c r="AJ47" s="1354"/>
      <c r="AK47" s="1354"/>
    </row>
    <row r="48" spans="1:37" s="1353" customFormat="1" ht="24.75">
      <c r="A48" s="2853" t="s">
        <v>2938</v>
      </c>
      <c r="B48" s="2856">
        <f>估价对象房地状况!C4</f>
        <v>0</v>
      </c>
      <c r="C48" s="2753"/>
      <c r="D48" s="1269">
        <f t="shared" ref="D48:D56" si="10">SUMIF($J$47:$N$47,C48,J48:N48)</f>
        <v>0</v>
      </c>
      <c r="E48" s="804">
        <f>ROUND(SUM(D48:D56),4)</f>
        <v>0</v>
      </c>
      <c r="F48" s="2484"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14.25">
      <c r="A49" s="2853" t="s">
        <v>2939</v>
      </c>
      <c r="B49" s="2857">
        <f>估价对象房地状况!C18</f>
        <v>0</v>
      </c>
      <c r="C49" s="2753"/>
      <c r="D49" s="1269">
        <f t="shared" si="10"/>
        <v>0</v>
      </c>
      <c r="E49" s="805"/>
      <c r="F49" s="2484"/>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3" t="s">
        <v>2940</v>
      </c>
      <c r="B50" s="2857">
        <f>估价对象房地状况!C19</f>
        <v>0</v>
      </c>
      <c r="C50" s="2753"/>
      <c r="D50" s="1269">
        <f t="shared" si="10"/>
        <v>0</v>
      </c>
      <c r="E50" s="805"/>
      <c r="F50" s="2484"/>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36.75">
      <c r="A51" s="2853" t="s">
        <v>2941</v>
      </c>
      <c r="B51" s="2858" t="s">
        <v>2942</v>
      </c>
      <c r="C51" s="2753"/>
      <c r="D51" s="1269">
        <f t="shared" si="10"/>
        <v>0</v>
      </c>
      <c r="E51" s="805"/>
      <c r="F51" s="2484"/>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3" t="s">
        <v>2943</v>
      </c>
      <c r="B52" s="2857">
        <f>估价对象房地状况!C24</f>
        <v>0</v>
      </c>
      <c r="C52" s="2753"/>
      <c r="D52" s="1269">
        <f t="shared" si="10"/>
        <v>0</v>
      </c>
      <c r="E52" s="805"/>
      <c r="F52" s="2484"/>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24">
      <c r="A53" s="2853" t="s">
        <v>2944</v>
      </c>
      <c r="B53" s="2859" t="s">
        <v>2945</v>
      </c>
      <c r="C53" s="2753"/>
      <c r="D53" s="1269">
        <f t="shared" si="10"/>
        <v>0</v>
      </c>
      <c r="E53" s="805"/>
      <c r="F53" s="2484"/>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4">
      <c r="A54" s="2860" t="s">
        <v>2946</v>
      </c>
      <c r="B54" s="1708">
        <f>估价对象房地状况!C21</f>
        <v>0</v>
      </c>
      <c r="C54" s="2753"/>
      <c r="D54" s="1269">
        <f t="shared" si="10"/>
        <v>0</v>
      </c>
      <c r="E54" s="805"/>
      <c r="F54" s="2484"/>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4">
      <c r="A55" s="2860" t="s">
        <v>2947</v>
      </c>
      <c r="B55" s="2857">
        <f>估价对象房地状况!C22</f>
        <v>0</v>
      </c>
      <c r="C55" s="2753"/>
      <c r="D55" s="1269">
        <f t="shared" si="10"/>
        <v>0</v>
      </c>
      <c r="E55" s="805"/>
      <c r="F55" s="2484"/>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24.75" thickBot="1">
      <c r="A56" s="2861" t="s">
        <v>2948</v>
      </c>
      <c r="B56" s="2862">
        <f>估价对象房地状况!C20</f>
        <v>0</v>
      </c>
      <c r="C56" s="2753"/>
      <c r="D56" s="1269">
        <f t="shared" si="10"/>
        <v>0</v>
      </c>
      <c r="E56" s="808"/>
      <c r="F56" s="2484"/>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5">
      <c r="A57" s="2849" t="s">
        <v>2949</v>
      </c>
      <c r="B57" s="2850">
        <f>1+E59</f>
        <v>1</v>
      </c>
      <c r="C57" s="797"/>
      <c r="D57" s="797"/>
      <c r="E57" s="798"/>
      <c r="F57" s="2852"/>
      <c r="G57" s="6"/>
      <c r="H57" s="6"/>
      <c r="I57" s="6"/>
      <c r="J57" s="7"/>
      <c r="K57" s="7"/>
      <c r="L57" s="7"/>
      <c r="M57" s="7"/>
      <c r="N57" s="7"/>
      <c r="AA57" s="1354"/>
      <c r="AB57" s="1354"/>
      <c r="AC57" s="1354"/>
      <c r="AD57" s="1354"/>
      <c r="AE57" s="1354"/>
      <c r="AF57" s="1354"/>
      <c r="AG57" s="1354"/>
      <c r="AH57" s="1354"/>
      <c r="AI57" s="1354"/>
      <c r="AJ57" s="1354"/>
      <c r="AK57" s="1354"/>
    </row>
    <row r="58" spans="1:37" s="1353" customFormat="1" ht="24.75">
      <c r="A58" s="2853" t="s">
        <v>2930</v>
      </c>
      <c r="B58" s="1792"/>
      <c r="C58" s="1792" t="s">
        <v>2932</v>
      </c>
      <c r="D58" s="1792" t="s">
        <v>2933</v>
      </c>
      <c r="E58" s="802" t="s">
        <v>2934</v>
      </c>
      <c r="F58" s="2854" t="s">
        <v>2950</v>
      </c>
      <c r="G58" s="1792" t="s">
        <v>754</v>
      </c>
      <c r="H58" s="2855" t="s">
        <v>2936</v>
      </c>
      <c r="I58" s="1792" t="s">
        <v>2937</v>
      </c>
      <c r="J58" s="594" t="s">
        <v>2585</v>
      </c>
      <c r="K58" s="594" t="s">
        <v>2586</v>
      </c>
      <c r="L58" s="594" t="s">
        <v>2587</v>
      </c>
      <c r="M58" s="594" t="s">
        <v>2588</v>
      </c>
      <c r="N58" s="594" t="s">
        <v>2589</v>
      </c>
      <c r="AA58" s="1354"/>
      <c r="AB58" s="1354"/>
      <c r="AC58" s="1354"/>
      <c r="AD58" s="1354"/>
      <c r="AE58" s="1354"/>
      <c r="AF58" s="1354"/>
      <c r="AG58" s="1354"/>
      <c r="AH58" s="1354"/>
      <c r="AI58" s="1354"/>
      <c r="AJ58" s="1354"/>
      <c r="AK58" s="1354"/>
    </row>
    <row r="59" spans="1:37" s="1353" customFormat="1" ht="24">
      <c r="A59" s="2853" t="s">
        <v>2951</v>
      </c>
      <c r="B59" s="2856">
        <f>估价对象房地状况!C17</f>
        <v>0</v>
      </c>
      <c r="C59" s="2753"/>
      <c r="D59" s="1269">
        <f t="shared" ref="D59:D67" si="15">SUMIF($J$58:$N$58,C59,J59:N59)</f>
        <v>0</v>
      </c>
      <c r="E59" s="804">
        <f>ROUND(SUM(D59:D67),4)</f>
        <v>0</v>
      </c>
      <c r="F59" s="2484"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14.25">
      <c r="A60" s="2853" t="s">
        <v>2939</v>
      </c>
      <c r="B60" s="2857">
        <f>估价对象房地状况!C18</f>
        <v>0</v>
      </c>
      <c r="C60" s="2753"/>
      <c r="D60" s="1269">
        <f t="shared" si="15"/>
        <v>0</v>
      </c>
      <c r="E60" s="805"/>
      <c r="F60" s="2484"/>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3" t="s">
        <v>2940</v>
      </c>
      <c r="B61" s="2857">
        <f>估价对象房地状况!C19</f>
        <v>0</v>
      </c>
      <c r="C61" s="2753"/>
      <c r="D61" s="1269">
        <f t="shared" si="15"/>
        <v>0</v>
      </c>
      <c r="E61" s="805"/>
      <c r="F61" s="2484"/>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36.75">
      <c r="A62" s="2853" t="s">
        <v>2941</v>
      </c>
      <c r="B62" s="2858" t="s">
        <v>2942</v>
      </c>
      <c r="C62" s="2753"/>
      <c r="D62" s="1269">
        <f t="shared" si="15"/>
        <v>0</v>
      </c>
      <c r="E62" s="805"/>
      <c r="F62" s="2484"/>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3" t="s">
        <v>2943</v>
      </c>
      <c r="B63" s="2857">
        <f>估价对象房地状况!C24</f>
        <v>0</v>
      </c>
      <c r="C63" s="2753"/>
      <c r="D63" s="1269">
        <f t="shared" si="15"/>
        <v>0</v>
      </c>
      <c r="E63" s="805"/>
      <c r="F63" s="2484"/>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24">
      <c r="A64" s="2853" t="s">
        <v>2944</v>
      </c>
      <c r="B64" s="2859" t="s">
        <v>2945</v>
      </c>
      <c r="C64" s="2753"/>
      <c r="D64" s="1269">
        <f t="shared" si="15"/>
        <v>0</v>
      </c>
      <c r="E64" s="805"/>
      <c r="F64" s="2484"/>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4">
      <c r="A65" s="2853" t="s">
        <v>2946</v>
      </c>
      <c r="B65" s="1708">
        <f>估价对象房地状况!C21</f>
        <v>0</v>
      </c>
      <c r="C65" s="2753"/>
      <c r="D65" s="1269">
        <f t="shared" si="15"/>
        <v>0</v>
      </c>
      <c r="E65" s="805"/>
      <c r="F65" s="2484"/>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4">
      <c r="A66" s="2853" t="s">
        <v>2947</v>
      </c>
      <c r="B66" s="1708">
        <f>估价对象房地状况!C22</f>
        <v>0</v>
      </c>
      <c r="C66" s="2753"/>
      <c r="D66" s="1269">
        <f t="shared" si="15"/>
        <v>0</v>
      </c>
      <c r="E66" s="805"/>
      <c r="F66" s="2484"/>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24.75" thickBot="1">
      <c r="A67" s="2861" t="s">
        <v>2948</v>
      </c>
      <c r="B67" s="2863">
        <f>估价对象房地状况!C20</f>
        <v>0</v>
      </c>
      <c r="C67" s="2753"/>
      <c r="D67" s="1269">
        <f t="shared" si="15"/>
        <v>0</v>
      </c>
      <c r="E67" s="808"/>
      <c r="F67" s="2484"/>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5">
      <c r="A68" s="2849" t="s">
        <v>2952</v>
      </c>
      <c r="B68" s="2850">
        <f>1+E70</f>
        <v>1</v>
      </c>
      <c r="C68" s="797"/>
      <c r="D68" s="797"/>
      <c r="E68" s="798"/>
      <c r="F68" s="2852"/>
      <c r="G68" s="6"/>
      <c r="H68" s="6"/>
      <c r="I68" s="6"/>
      <c r="J68" s="7"/>
      <c r="K68" s="7"/>
      <c r="L68" s="7"/>
      <c r="M68" s="7"/>
      <c r="N68" s="7"/>
      <c r="AA68" s="1354"/>
      <c r="AB68" s="1354"/>
      <c r="AC68" s="1354"/>
      <c r="AD68" s="1354"/>
      <c r="AE68" s="1354"/>
      <c r="AF68" s="1354"/>
      <c r="AG68" s="1354"/>
      <c r="AH68" s="1354"/>
      <c r="AI68" s="1354"/>
      <c r="AJ68" s="1354"/>
      <c r="AK68" s="1354"/>
    </row>
    <row r="69" spans="1:37" s="1353" customFormat="1" ht="24.75">
      <c r="A69" s="2853" t="s">
        <v>2930</v>
      </c>
      <c r="B69" s="1792"/>
      <c r="C69" s="1792" t="s">
        <v>2932</v>
      </c>
      <c r="D69" s="1792" t="s">
        <v>2933</v>
      </c>
      <c r="E69" s="802" t="s">
        <v>2934</v>
      </c>
      <c r="F69" s="2854" t="s">
        <v>2950</v>
      </c>
      <c r="G69" s="1792" t="s">
        <v>754</v>
      </c>
      <c r="H69" s="2855" t="s">
        <v>2936</v>
      </c>
      <c r="I69" s="1792" t="s">
        <v>2937</v>
      </c>
      <c r="J69" s="594" t="s">
        <v>2585</v>
      </c>
      <c r="K69" s="594" t="s">
        <v>2586</v>
      </c>
      <c r="L69" s="594" t="s">
        <v>2587</v>
      </c>
      <c r="M69" s="594" t="s">
        <v>2588</v>
      </c>
      <c r="N69" s="594" t="s">
        <v>2589</v>
      </c>
      <c r="AA69" s="1354"/>
      <c r="AB69" s="1354"/>
      <c r="AC69" s="1354"/>
      <c r="AD69" s="1354"/>
      <c r="AE69" s="1354"/>
      <c r="AF69" s="1354"/>
      <c r="AG69" s="1354"/>
      <c r="AH69" s="1354"/>
      <c r="AI69" s="1354"/>
      <c r="AJ69" s="1354"/>
      <c r="AK69" s="1354"/>
    </row>
    <row r="70" spans="1:37" s="1353" customFormat="1" ht="24">
      <c r="A70" s="2853" t="s">
        <v>2953</v>
      </c>
      <c r="B70" s="2856">
        <f>估价对象房地状况!C15</f>
        <v>0</v>
      </c>
      <c r="C70" s="2753"/>
      <c r="D70" s="1269">
        <f t="shared" ref="D70:D78" si="20">SUMIF($J$69:$N$69,C70,J70:N70)</f>
        <v>0</v>
      </c>
      <c r="E70" s="804">
        <f>ROUND(SUM(D70:D78),4)</f>
        <v>0</v>
      </c>
      <c r="F70" s="2484"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14.25">
      <c r="A71" s="2853" t="s">
        <v>2939</v>
      </c>
      <c r="B71" s="2857">
        <f>估价对象房地状况!C18</f>
        <v>0</v>
      </c>
      <c r="C71" s="2753"/>
      <c r="D71" s="1269">
        <f t="shared" si="20"/>
        <v>0</v>
      </c>
      <c r="E71" s="809"/>
      <c r="F71" s="2484"/>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3" t="s">
        <v>2940</v>
      </c>
      <c r="B72" s="2857">
        <f>估价对象房地状况!C19</f>
        <v>0</v>
      </c>
      <c r="C72" s="2753"/>
      <c r="D72" s="1269">
        <f t="shared" si="20"/>
        <v>0</v>
      </c>
      <c r="E72" s="809"/>
      <c r="F72" s="2484"/>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4.25">
      <c r="A73" s="2853" t="s">
        <v>2954</v>
      </c>
      <c r="B73" s="2857">
        <f>估价对象房地状况!C24</f>
        <v>0</v>
      </c>
      <c r="C73" s="2753"/>
      <c r="D73" s="1269">
        <f t="shared" si="20"/>
        <v>0</v>
      </c>
      <c r="E73" s="809"/>
      <c r="F73" s="2484"/>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4">
      <c r="A74" s="2853" t="s">
        <v>2946</v>
      </c>
      <c r="B74" s="1708">
        <f>估价对象房地状况!C21</f>
        <v>0</v>
      </c>
      <c r="C74" s="2753"/>
      <c r="D74" s="1269">
        <f t="shared" si="20"/>
        <v>0</v>
      </c>
      <c r="E74" s="809"/>
      <c r="F74" s="2484"/>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4">
      <c r="A75" s="2853" t="s">
        <v>2947</v>
      </c>
      <c r="B75" s="1708">
        <f>估价对象房地状况!C22</f>
        <v>0</v>
      </c>
      <c r="C75" s="2753"/>
      <c r="D75" s="1269">
        <f t="shared" si="20"/>
        <v>0</v>
      </c>
      <c r="E75" s="809"/>
      <c r="F75" s="2484"/>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2" customFormat="1" ht="24">
      <c r="A76" s="2853" t="s">
        <v>2944</v>
      </c>
      <c r="B76" s="2859" t="s">
        <v>2945</v>
      </c>
      <c r="C76" s="2753"/>
      <c r="D76" s="1269">
        <f t="shared" si="20"/>
        <v>0</v>
      </c>
      <c r="E76" s="809"/>
      <c r="F76" s="2484"/>
      <c r="G76" s="1267"/>
      <c r="H76" s="1271" t="str">
        <f t="shared" si="21"/>
        <v>——</v>
      </c>
      <c r="I76" s="803">
        <v>0.05</v>
      </c>
      <c r="J76" s="1268">
        <f t="shared" si="22"/>
        <v>0</v>
      </c>
      <c r="K76" s="1268">
        <f t="shared" si="23"/>
        <v>0</v>
      </c>
      <c r="L76" s="1268">
        <v>0</v>
      </c>
      <c r="M76" s="1268">
        <f t="shared" si="24"/>
        <v>0</v>
      </c>
      <c r="N76" s="1268">
        <f t="shared" si="24"/>
        <v>0</v>
      </c>
      <c r="AA76" s="2864"/>
      <c r="AB76" s="1354"/>
      <c r="AC76" s="1354"/>
      <c r="AD76" s="1354"/>
      <c r="AE76" s="1354"/>
      <c r="AF76" s="1354"/>
      <c r="AG76" s="1354"/>
      <c r="AH76" s="2864"/>
      <c r="AI76" s="2864"/>
      <c r="AJ76" s="2864"/>
      <c r="AK76" s="2864"/>
    </row>
    <row r="77" spans="1:37" ht="24">
      <c r="A77" s="2853" t="s">
        <v>2948</v>
      </c>
      <c r="B77" s="2856">
        <f>估价对象房地状况!C20</f>
        <v>0</v>
      </c>
      <c r="C77" s="2753"/>
      <c r="D77" s="1269">
        <f t="shared" si="20"/>
        <v>0</v>
      </c>
      <c r="E77" s="809"/>
      <c r="F77" s="2484"/>
      <c r="G77" s="1267"/>
      <c r="H77" s="1271" t="str">
        <f t="shared" si="21"/>
        <v>——</v>
      </c>
      <c r="I77" s="803">
        <v>0.15</v>
      </c>
      <c r="J77" s="1268">
        <f t="shared" si="22"/>
        <v>0</v>
      </c>
      <c r="K77" s="1268">
        <f t="shared" si="23"/>
        <v>0</v>
      </c>
      <c r="L77" s="1268">
        <v>0</v>
      </c>
      <c r="M77" s="1268">
        <f t="shared" si="24"/>
        <v>0</v>
      </c>
      <c r="N77" s="1268">
        <f t="shared" si="24"/>
        <v>0</v>
      </c>
      <c r="Z77" s="2703"/>
      <c r="AA77" s="2771"/>
      <c r="AG77" s="1355"/>
      <c r="AK77" s="2771"/>
    </row>
    <row r="78" spans="1:37" ht="24.75" thickBot="1">
      <c r="A78" s="2861" t="s">
        <v>2955</v>
      </c>
      <c r="B78" s="2865"/>
      <c r="C78" s="2753"/>
      <c r="D78" s="1269">
        <f t="shared" si="20"/>
        <v>0</v>
      </c>
      <c r="E78" s="810"/>
      <c r="F78" s="2484"/>
      <c r="G78" s="1267"/>
      <c r="H78" s="1271" t="str">
        <f t="shared" si="21"/>
        <v>——</v>
      </c>
      <c r="I78" s="807">
        <v>0.04</v>
      </c>
      <c r="J78" s="1268">
        <f t="shared" si="22"/>
        <v>0</v>
      </c>
      <c r="K78" s="1268">
        <f t="shared" si="23"/>
        <v>0</v>
      </c>
      <c r="L78" s="1268">
        <v>0</v>
      </c>
      <c r="M78" s="1268">
        <f t="shared" si="24"/>
        <v>0</v>
      </c>
      <c r="N78" s="1268">
        <f t="shared" si="24"/>
        <v>0</v>
      </c>
      <c r="Z78" s="2703"/>
      <c r="AA78" s="2771"/>
      <c r="AG78" s="1355"/>
      <c r="AK78" s="2771"/>
    </row>
    <row r="79" spans="1:37" ht="15">
      <c r="A79" s="2849" t="s">
        <v>2956</v>
      </c>
      <c r="B79" s="2850">
        <f>1+E81</f>
        <v>1</v>
      </c>
      <c r="C79" s="797"/>
      <c r="D79" s="797"/>
      <c r="E79" s="798"/>
      <c r="F79" s="2852"/>
      <c r="G79" s="6"/>
      <c r="H79" s="6"/>
      <c r="I79" s="6"/>
      <c r="J79" s="7"/>
      <c r="K79" s="7"/>
      <c r="L79" s="7"/>
      <c r="M79" s="7"/>
      <c r="N79" s="7"/>
      <c r="Z79" s="2703"/>
      <c r="AA79" s="2771"/>
      <c r="AG79" s="1355"/>
      <c r="AK79" s="2771"/>
    </row>
    <row r="80" spans="1:37" ht="24.75">
      <c r="A80" s="2853" t="s">
        <v>2930</v>
      </c>
      <c r="B80" s="1792"/>
      <c r="C80" s="1792" t="s">
        <v>2932</v>
      </c>
      <c r="D80" s="1792" t="s">
        <v>2933</v>
      </c>
      <c r="E80" s="802" t="s">
        <v>2934</v>
      </c>
      <c r="F80" s="2854" t="s">
        <v>2950</v>
      </c>
      <c r="G80" s="1792" t="s">
        <v>754</v>
      </c>
      <c r="H80" s="2855" t="s">
        <v>2936</v>
      </c>
      <c r="I80" s="1792" t="s">
        <v>2937</v>
      </c>
      <c r="J80" s="594" t="s">
        <v>2585</v>
      </c>
      <c r="K80" s="594" t="s">
        <v>2586</v>
      </c>
      <c r="L80" s="594" t="s">
        <v>2587</v>
      </c>
      <c r="M80" s="594" t="s">
        <v>2588</v>
      </c>
      <c r="N80" s="594" t="s">
        <v>2589</v>
      </c>
      <c r="Z80" s="2703"/>
      <c r="AA80" s="2771"/>
      <c r="AG80" s="1355"/>
      <c r="AK80" s="2771"/>
    </row>
    <row r="81" spans="1:37" ht="24">
      <c r="A81" s="2853" t="s">
        <v>2957</v>
      </c>
      <c r="B81" s="2857">
        <f>估价对象房地状况!G15</f>
        <v>0</v>
      </c>
      <c r="C81" s="2753"/>
      <c r="D81" s="1269">
        <f t="shared" ref="D81:D88" si="25">SUMIF($J$80:$N$80,C81,J81:N81)</f>
        <v>0</v>
      </c>
      <c r="E81" s="804">
        <f>ROUND(SUM(D81:D88),4)</f>
        <v>0</v>
      </c>
      <c r="F81" s="2484"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3"/>
      <c r="AA81" s="2771"/>
      <c r="AG81" s="1355"/>
      <c r="AK81" s="2771"/>
    </row>
    <row r="82" spans="1:37" ht="14.25">
      <c r="A82" s="2853" t="s">
        <v>2939</v>
      </c>
      <c r="B82" s="2857">
        <f>估价对象房地状况!G16</f>
        <v>0</v>
      </c>
      <c r="C82" s="2753"/>
      <c r="D82" s="1269">
        <f t="shared" si="25"/>
        <v>0</v>
      </c>
      <c r="E82" s="809"/>
      <c r="F82" s="2484"/>
      <c r="G82" s="1267"/>
      <c r="H82" s="1271" t="str">
        <f t="shared" si="26"/>
        <v>——</v>
      </c>
      <c r="I82" s="803">
        <v>0.33</v>
      </c>
      <c r="J82" s="1268">
        <f t="shared" si="27"/>
        <v>0</v>
      </c>
      <c r="K82" s="1268">
        <f t="shared" si="28"/>
        <v>0</v>
      </c>
      <c r="L82" s="1268">
        <v>0</v>
      </c>
      <c r="M82" s="1268">
        <f t="shared" si="29"/>
        <v>0</v>
      </c>
      <c r="N82" s="1268">
        <f t="shared" si="29"/>
        <v>0</v>
      </c>
      <c r="Z82" s="2703"/>
      <c r="AA82" s="2771"/>
      <c r="AG82" s="1355"/>
      <c r="AK82" s="2771"/>
    </row>
    <row r="83" spans="1:37" ht="24">
      <c r="A83" s="2853" t="s">
        <v>2940</v>
      </c>
      <c r="B83" s="2857">
        <f>估价对象房地状况!G17</f>
        <v>0</v>
      </c>
      <c r="C83" s="2753"/>
      <c r="D83" s="1269">
        <f t="shared" si="25"/>
        <v>0</v>
      </c>
      <c r="E83" s="809"/>
      <c r="F83" s="2484"/>
      <c r="G83" s="1267"/>
      <c r="H83" s="1271" t="str">
        <f t="shared" si="26"/>
        <v>——</v>
      </c>
      <c r="I83" s="803">
        <v>0.05</v>
      </c>
      <c r="J83" s="1268">
        <f t="shared" si="27"/>
        <v>0</v>
      </c>
      <c r="K83" s="1268">
        <f t="shared" si="28"/>
        <v>0</v>
      </c>
      <c r="L83" s="1268">
        <v>0</v>
      </c>
      <c r="M83" s="1268">
        <f t="shared" si="29"/>
        <v>0</v>
      </c>
      <c r="N83" s="1268">
        <f t="shared" si="29"/>
        <v>0</v>
      </c>
      <c r="Z83" s="2703"/>
      <c r="AA83" s="2771"/>
      <c r="AG83" s="1355"/>
      <c r="AK83" s="2771"/>
    </row>
    <row r="84" spans="1:37" ht="14.25">
      <c r="A84" s="2853" t="s">
        <v>2954</v>
      </c>
      <c r="B84" s="2857">
        <f>估价对象房地状况!G22</f>
        <v>0</v>
      </c>
      <c r="C84" s="2753"/>
      <c r="D84" s="1269">
        <f t="shared" si="25"/>
        <v>0</v>
      </c>
      <c r="E84" s="809"/>
      <c r="F84" s="2484"/>
      <c r="G84" s="1267"/>
      <c r="H84" s="1271" t="str">
        <f t="shared" si="26"/>
        <v>——</v>
      </c>
      <c r="I84" s="803">
        <v>0.04</v>
      </c>
      <c r="J84" s="1268">
        <f t="shared" si="27"/>
        <v>0</v>
      </c>
      <c r="K84" s="1268">
        <f t="shared" si="28"/>
        <v>0</v>
      </c>
      <c r="L84" s="1268">
        <v>0</v>
      </c>
      <c r="M84" s="1268">
        <f t="shared" si="29"/>
        <v>0</v>
      </c>
      <c r="N84" s="1268">
        <f t="shared" si="29"/>
        <v>0</v>
      </c>
      <c r="Z84" s="2703"/>
      <c r="AA84" s="2771"/>
      <c r="AG84" s="1355"/>
      <c r="AK84" s="2771"/>
    </row>
    <row r="85" spans="1:37" ht="24">
      <c r="A85" s="2853" t="s">
        <v>2946</v>
      </c>
      <c r="B85" s="1708">
        <f>估价对象房地状况!G19</f>
        <v>0</v>
      </c>
      <c r="C85" s="2753"/>
      <c r="D85" s="1269">
        <f t="shared" si="25"/>
        <v>0</v>
      </c>
      <c r="E85" s="809"/>
      <c r="F85" s="2484"/>
      <c r="G85" s="1267"/>
      <c r="H85" s="1271" t="str">
        <f t="shared" si="26"/>
        <v>——</v>
      </c>
      <c r="I85" s="803">
        <v>0.06</v>
      </c>
      <c r="J85" s="1268">
        <f t="shared" si="27"/>
        <v>0</v>
      </c>
      <c r="K85" s="1268">
        <f t="shared" si="28"/>
        <v>0</v>
      </c>
      <c r="L85" s="1268">
        <v>0</v>
      </c>
      <c r="M85" s="1268">
        <f t="shared" si="29"/>
        <v>0</v>
      </c>
      <c r="N85" s="1268">
        <f t="shared" si="29"/>
        <v>0</v>
      </c>
      <c r="Z85" s="2703"/>
      <c r="AA85" s="2771"/>
      <c r="AG85" s="1355"/>
      <c r="AK85" s="2771"/>
    </row>
    <row r="86" spans="1:37" ht="24">
      <c r="A86" s="2853" t="s">
        <v>2947</v>
      </c>
      <c r="B86" s="1708">
        <f>估价对象房地状况!G20</f>
        <v>0</v>
      </c>
      <c r="C86" s="2753"/>
      <c r="D86" s="1269">
        <f t="shared" si="25"/>
        <v>0</v>
      </c>
      <c r="E86" s="809"/>
      <c r="F86" s="2484"/>
      <c r="G86" s="1267"/>
      <c r="H86" s="1271" t="str">
        <f t="shared" si="26"/>
        <v>——</v>
      </c>
      <c r="I86" s="803">
        <v>0.15</v>
      </c>
      <c r="J86" s="1268">
        <f t="shared" si="27"/>
        <v>0</v>
      </c>
      <c r="K86" s="1268">
        <f t="shared" si="28"/>
        <v>0</v>
      </c>
      <c r="L86" s="1268">
        <v>0</v>
      </c>
      <c r="M86" s="1268">
        <f t="shared" si="29"/>
        <v>0</v>
      </c>
      <c r="N86" s="1268">
        <f t="shared" si="29"/>
        <v>0</v>
      </c>
      <c r="Z86" s="2703"/>
      <c r="AA86" s="2771"/>
      <c r="AG86" s="1355"/>
      <c r="AK86" s="2771"/>
    </row>
    <row r="87" spans="1:37" ht="24">
      <c r="A87" s="2853" t="s">
        <v>2944</v>
      </c>
      <c r="B87" s="2859" t="s">
        <v>2958</v>
      </c>
      <c r="C87" s="2753"/>
      <c r="D87" s="1269">
        <f t="shared" si="25"/>
        <v>0</v>
      </c>
      <c r="E87" s="809"/>
      <c r="F87" s="2484"/>
      <c r="G87" s="1267"/>
      <c r="H87" s="1271" t="str">
        <f t="shared" si="26"/>
        <v>——</v>
      </c>
      <c r="I87" s="803">
        <v>0.05</v>
      </c>
      <c r="J87" s="1268">
        <f t="shared" si="27"/>
        <v>0</v>
      </c>
      <c r="K87" s="1268">
        <f t="shared" si="28"/>
        <v>0</v>
      </c>
      <c r="L87" s="1268">
        <v>0</v>
      </c>
      <c r="M87" s="1268">
        <f t="shared" si="29"/>
        <v>0</v>
      </c>
      <c r="N87" s="1268">
        <f t="shared" si="29"/>
        <v>0</v>
      </c>
      <c r="Z87" s="2703"/>
      <c r="AA87" s="2771"/>
      <c r="AG87" s="1355"/>
      <c r="AK87" s="2771"/>
    </row>
    <row r="88" spans="1:37" ht="15" thickBot="1">
      <c r="A88" s="2861" t="s">
        <v>2959</v>
      </c>
      <c r="B88" s="2866">
        <f>估价对象房地状况!G18</f>
        <v>0</v>
      </c>
      <c r="C88" s="2753"/>
      <c r="D88" s="1269">
        <f t="shared" si="25"/>
        <v>0</v>
      </c>
      <c r="E88" s="810"/>
      <c r="F88" s="2484"/>
      <c r="G88" s="1267"/>
      <c r="H88" s="1271" t="str">
        <f t="shared" si="26"/>
        <v>——</v>
      </c>
      <c r="I88" s="807">
        <v>0.06</v>
      </c>
      <c r="J88" s="1268">
        <f t="shared" si="27"/>
        <v>0</v>
      </c>
      <c r="K88" s="1268">
        <f t="shared" si="28"/>
        <v>0</v>
      </c>
      <c r="L88" s="1268">
        <v>0</v>
      </c>
      <c r="M88" s="1268">
        <f t="shared" si="29"/>
        <v>0</v>
      </c>
      <c r="N88" s="1268">
        <f t="shared" si="29"/>
        <v>0</v>
      </c>
      <c r="Z88" s="2703"/>
      <c r="AA88" s="2771"/>
      <c r="AG88" s="1355"/>
      <c r="AK88" s="2771"/>
    </row>
    <row r="90" spans="1:37">
      <c r="A90" s="3299" t="s">
        <v>2960</v>
      </c>
      <c r="B90" s="3299"/>
      <c r="C90" s="3299"/>
      <c r="D90" s="3299"/>
      <c r="E90" s="3299"/>
      <c r="F90" s="3299"/>
      <c r="G90" s="3299"/>
      <c r="H90" s="3299"/>
      <c r="I90" s="3299"/>
      <c r="J90" s="3299"/>
      <c r="K90" s="2867"/>
      <c r="L90" s="2867"/>
      <c r="M90" s="2867"/>
      <c r="N90" s="2867"/>
    </row>
    <row r="91" spans="1:37">
      <c r="A91" s="3301" t="s">
        <v>2961</v>
      </c>
      <c r="B91" s="3301" t="s">
        <v>2962</v>
      </c>
      <c r="C91" s="2821" t="s">
        <v>2963</v>
      </c>
      <c r="D91" s="2822"/>
      <c r="E91" s="2822"/>
      <c r="F91" s="2822"/>
      <c r="G91" s="2822"/>
      <c r="H91" s="2822"/>
      <c r="I91" s="2822"/>
      <c r="J91" s="2868"/>
      <c r="K91" s="2869"/>
      <c r="L91" s="2869"/>
      <c r="M91" s="2869"/>
      <c r="N91" s="2869"/>
    </row>
    <row r="92" spans="1:37">
      <c r="A92" s="3301"/>
      <c r="B92" s="3301"/>
      <c r="C92" s="925" t="s">
        <v>2829</v>
      </c>
      <c r="D92" s="925" t="s">
        <v>2830</v>
      </c>
      <c r="E92" s="925" t="s">
        <v>2831</v>
      </c>
      <c r="F92" s="925" t="s">
        <v>2832</v>
      </c>
      <c r="G92" s="925" t="s">
        <v>2833</v>
      </c>
      <c r="H92" s="925" t="s">
        <v>2834</v>
      </c>
      <c r="I92" s="925" t="s">
        <v>2835</v>
      </c>
      <c r="J92" s="925" t="s">
        <v>2836</v>
      </c>
      <c r="K92" s="925" t="s">
        <v>2837</v>
      </c>
      <c r="L92" s="925" t="s">
        <v>2838</v>
      </c>
      <c r="M92" s="925" t="s">
        <v>2839</v>
      </c>
      <c r="N92" s="925" t="s">
        <v>2840</v>
      </c>
    </row>
    <row r="93" spans="1:37">
      <c r="A93" s="3302" t="s">
        <v>2964</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03"/>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03"/>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03"/>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03"/>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03"/>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03"/>
      <c r="B99" s="2870" t="s">
        <v>2845</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04"/>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02" t="s">
        <v>2965</v>
      </c>
      <c r="B101" s="2874" t="s">
        <v>2966</v>
      </c>
      <c r="C101" s="2875" t="e">
        <f>$G$3</f>
        <v>#DIV/0!</v>
      </c>
      <c r="D101" s="2875" t="e">
        <f t="shared" ref="D101:N101" si="31">$G$3</f>
        <v>#DIV/0!</v>
      </c>
      <c r="E101" s="2875" t="e">
        <f t="shared" si="31"/>
        <v>#DIV/0!</v>
      </c>
      <c r="F101" s="2875" t="e">
        <f t="shared" si="31"/>
        <v>#DIV/0!</v>
      </c>
      <c r="G101" s="2875" t="e">
        <f t="shared" si="31"/>
        <v>#DIV/0!</v>
      </c>
      <c r="H101" s="2875" t="e">
        <f t="shared" si="31"/>
        <v>#DIV/0!</v>
      </c>
      <c r="I101" s="2875" t="e">
        <f t="shared" si="31"/>
        <v>#DIV/0!</v>
      </c>
      <c r="J101" s="2875" t="e">
        <f t="shared" si="31"/>
        <v>#DIV/0!</v>
      </c>
      <c r="K101" s="2875" t="e">
        <f t="shared" si="31"/>
        <v>#DIV/0!</v>
      </c>
      <c r="L101" s="2875" t="e">
        <f t="shared" si="31"/>
        <v>#DIV/0!</v>
      </c>
      <c r="M101" s="2875" t="e">
        <f t="shared" si="31"/>
        <v>#DIV/0!</v>
      </c>
      <c r="N101" s="2875" t="e">
        <f t="shared" si="31"/>
        <v>#DIV/0!</v>
      </c>
    </row>
    <row r="102" spans="1:14">
      <c r="A102" s="3303"/>
      <c r="B102" s="2870">
        <v>1</v>
      </c>
      <c r="C102" s="2871" t="e">
        <f>1.9362/C101</f>
        <v>#DIV/0!</v>
      </c>
      <c r="D102" s="2871" t="e">
        <f>1.9362/D101</f>
        <v>#DIV/0!</v>
      </c>
      <c r="E102" s="2871" t="e">
        <f>1.8629/E101</f>
        <v>#DIV/0!</v>
      </c>
      <c r="F102" s="2871" t="e">
        <f>1.8629/F101</f>
        <v>#DIV/0!</v>
      </c>
      <c r="G102" s="2871" t="e">
        <f>1.8629/G101</f>
        <v>#DIV/0!</v>
      </c>
      <c r="H102" s="2871" t="e">
        <f>1.8629/H101</f>
        <v>#DIV/0!</v>
      </c>
      <c r="I102" s="2871" t="e">
        <f>1.8629/I101</f>
        <v>#DIV/0!</v>
      </c>
      <c r="J102" s="2871" t="e">
        <f>1.942/J101</f>
        <v>#DIV/0!</v>
      </c>
      <c r="K102" s="2871" t="e">
        <f>1.942/K101</f>
        <v>#DIV/0!</v>
      </c>
      <c r="L102" s="2871" t="e">
        <f>1.942/L101</f>
        <v>#DIV/0!</v>
      </c>
      <c r="M102" s="2871" t="e">
        <f>1.942/M101</f>
        <v>#DIV/0!</v>
      </c>
      <c r="N102" s="2871" t="e">
        <f>1.942/N101</f>
        <v>#DIV/0!</v>
      </c>
    </row>
    <row r="103" spans="1:14">
      <c r="A103" s="3303"/>
      <c r="B103" s="2870">
        <v>2</v>
      </c>
      <c r="C103" s="2871" t="e">
        <f>1.4198/C101</f>
        <v>#DIV/0!</v>
      </c>
      <c r="D103" s="2871" t="e">
        <f>1.4198/D101</f>
        <v>#DIV/0!</v>
      </c>
      <c r="E103" s="2871" t="e">
        <f>1.3372/E101</f>
        <v>#DIV/0!</v>
      </c>
      <c r="F103" s="2871" t="e">
        <f>1.3372/F101</f>
        <v>#DIV/0!</v>
      </c>
      <c r="G103" s="2871" t="e">
        <f>1.3372/G101</f>
        <v>#DIV/0!</v>
      </c>
      <c r="H103" s="2871" t="e">
        <f>1.3372/H101</f>
        <v>#DIV/0!</v>
      </c>
      <c r="I103" s="2871" t="e">
        <f>1.3372/I101</f>
        <v>#DIV/0!</v>
      </c>
      <c r="J103" s="2871" t="e">
        <f>1.2799/J101</f>
        <v>#DIV/0!</v>
      </c>
      <c r="K103" s="2871" t="e">
        <f>1.2799/K101</f>
        <v>#DIV/0!</v>
      </c>
      <c r="L103" s="2871" t="e">
        <f>1.2799/L101</f>
        <v>#DIV/0!</v>
      </c>
      <c r="M103" s="2871" t="e">
        <f>1.2799/M101</f>
        <v>#DIV/0!</v>
      </c>
      <c r="N103" s="2871" t="e">
        <f>1.2799/N101</f>
        <v>#DIV/0!</v>
      </c>
    </row>
    <row r="104" spans="1:14">
      <c r="A104" s="3303"/>
      <c r="B104" s="2870">
        <v>3</v>
      </c>
      <c r="C104" s="2871" t="e">
        <f>1.1594/C101</f>
        <v>#DIV/0!</v>
      </c>
      <c r="D104" s="2871" t="e">
        <f>1.1594/D101</f>
        <v>#DIV/0!</v>
      </c>
      <c r="E104" s="2871" t="e">
        <f>1.0788/E101</f>
        <v>#DIV/0!</v>
      </c>
      <c r="F104" s="2871" t="e">
        <f>1.0788/F101</f>
        <v>#DIV/0!</v>
      </c>
      <c r="G104" s="2871" t="e">
        <f>1.0788/G101</f>
        <v>#DIV/0!</v>
      </c>
      <c r="H104" s="2871" t="e">
        <f>1.0788/H101</f>
        <v>#DIV/0!</v>
      </c>
      <c r="I104" s="2871" t="e">
        <f>1.0788/I101</f>
        <v>#DIV/0!</v>
      </c>
      <c r="J104" s="2871" t="e">
        <f>1.0072/J101</f>
        <v>#DIV/0!</v>
      </c>
      <c r="K104" s="2871" t="e">
        <f>1.0072/K101</f>
        <v>#DIV/0!</v>
      </c>
      <c r="L104" s="2871" t="e">
        <f>1.0072/L101</f>
        <v>#DIV/0!</v>
      </c>
      <c r="M104" s="2871" t="e">
        <f>1.0072/M101</f>
        <v>#DIV/0!</v>
      </c>
      <c r="N104" s="2871" t="e">
        <f>1.0072/N101</f>
        <v>#DIV/0!</v>
      </c>
    </row>
    <row r="105" spans="1:14">
      <c r="A105" s="3303"/>
      <c r="B105" s="2870">
        <v>4</v>
      </c>
      <c r="C105" s="2871" t="e">
        <f>0.9622/C101</f>
        <v>#DIV/0!</v>
      </c>
      <c r="D105" s="2871" t="e">
        <f>0.9622/D101</f>
        <v>#DIV/0!</v>
      </c>
      <c r="E105" s="2871" t="e">
        <f>0.8656/E101</f>
        <v>#DIV/0!</v>
      </c>
      <c r="F105" s="2871" t="e">
        <f>0.8656/F101</f>
        <v>#DIV/0!</v>
      </c>
      <c r="G105" s="2871" t="e">
        <f>0.8656/G101</f>
        <v>#DIV/0!</v>
      </c>
      <c r="H105" s="2871" t="e">
        <f>0.8656/H101</f>
        <v>#DIV/0!</v>
      </c>
      <c r="I105" s="2871" t="e">
        <f>0.8656/I101</f>
        <v>#DIV/0!</v>
      </c>
      <c r="J105" s="2871" t="e">
        <f>0.7525/J101</f>
        <v>#DIV/0!</v>
      </c>
      <c r="K105" s="2871" t="e">
        <f>0.7525/K101</f>
        <v>#DIV/0!</v>
      </c>
      <c r="L105" s="2871" t="e">
        <f>0.7525/L101</f>
        <v>#DIV/0!</v>
      </c>
      <c r="M105" s="2871" t="e">
        <f>0.7525/M101</f>
        <v>#DIV/0!</v>
      </c>
      <c r="N105" s="2871" t="e">
        <f>0.7525/N101</f>
        <v>#DIV/0!</v>
      </c>
    </row>
    <row r="106" spans="1:14">
      <c r="A106" s="3303"/>
      <c r="B106" s="2870">
        <v>5</v>
      </c>
      <c r="C106" s="2871" t="e">
        <f>0.8417/C101</f>
        <v>#DIV/0!</v>
      </c>
      <c r="D106" s="2871" t="e">
        <f>0.8417/D101</f>
        <v>#DIV/0!</v>
      </c>
      <c r="E106" s="2871" t="e">
        <f>0.7371/E101</f>
        <v>#DIV/0!</v>
      </c>
      <c r="F106" s="2871" t="e">
        <f>0.7371/F101</f>
        <v>#DIV/0!</v>
      </c>
      <c r="G106" s="2871" t="e">
        <f>0.7371/G101</f>
        <v>#DIV/0!</v>
      </c>
      <c r="H106" s="2871" t="e">
        <f>0.7371/H101</f>
        <v>#DIV/0!</v>
      </c>
      <c r="I106" s="2871" t="e">
        <f>0.7371/I101</f>
        <v>#DIV/0!</v>
      </c>
      <c r="J106" s="2871" t="e">
        <f>0.5659/J101</f>
        <v>#DIV/0!</v>
      </c>
      <c r="K106" s="2871" t="e">
        <f>0.5659/K101</f>
        <v>#DIV/0!</v>
      </c>
      <c r="L106" s="2871" t="e">
        <f>0.5659/L101</f>
        <v>#DIV/0!</v>
      </c>
      <c r="M106" s="2871" t="e">
        <f>0.5659/M101</f>
        <v>#DIV/0!</v>
      </c>
      <c r="N106" s="2871" t="e">
        <f>0.5659/N101</f>
        <v>#DIV/0!</v>
      </c>
    </row>
    <row r="107" spans="1:14">
      <c r="A107" s="3303"/>
      <c r="B107" s="2870">
        <v>6</v>
      </c>
      <c r="C107" s="2871" t="e">
        <f>0.7608/C101</f>
        <v>#DIV/0!</v>
      </c>
      <c r="D107" s="2871" t="e">
        <f>0.7608/D101</f>
        <v>#DIV/0!</v>
      </c>
      <c r="E107" s="2871" t="e">
        <f>0.6482/E101</f>
        <v>#DIV/0!</v>
      </c>
      <c r="F107" s="2871" t="e">
        <f>0.6482/F101</f>
        <v>#DIV/0!</v>
      </c>
      <c r="G107" s="2871" t="e">
        <f>0.6482/G101</f>
        <v>#DIV/0!</v>
      </c>
      <c r="H107" s="2871" t="e">
        <f>0.6482/H101</f>
        <v>#DIV/0!</v>
      </c>
      <c r="I107" s="2871" t="e">
        <f>0.6482/I101</f>
        <v>#DIV/0!</v>
      </c>
      <c r="J107" s="2871" t="e">
        <f>0.4525/J101</f>
        <v>#DIV/0!</v>
      </c>
      <c r="K107" s="2871" t="e">
        <f>0.4525/K101</f>
        <v>#DIV/0!</v>
      </c>
      <c r="L107" s="2871" t="e">
        <f>0.4525/L101</f>
        <v>#DIV/0!</v>
      </c>
      <c r="M107" s="2871" t="e">
        <f>0.4525/M101</f>
        <v>#DIV/0!</v>
      </c>
      <c r="N107" s="2871" t="e">
        <f>0.4525/N101</f>
        <v>#DIV/0!</v>
      </c>
    </row>
    <row r="108" spans="1:14">
      <c r="A108" s="3303"/>
      <c r="B108" s="3150" t="s">
        <v>2967</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04"/>
      <c r="B109" s="3151"/>
      <c r="C109" s="2873" t="e">
        <f>(-0.163*(C108^2)-0.59*C108+7617)*(10^(-4))/C101</f>
        <v>#DIV/0!</v>
      </c>
      <c r="D109" s="2873" t="e">
        <f>(-0.163*(D108^2)-0.59*D108+7617)*(10^(-4))/D101</f>
        <v>#DIV/0!</v>
      </c>
      <c r="E109" s="2873" t="e">
        <f>(-0.161*(E108^2)-7.509*E108+6533)*(10^(-4))/E101</f>
        <v>#DIV/0!</v>
      </c>
      <c r="F109" s="2873" t="e">
        <f>(-0.161*(F108^2)-7.509*F108+6533)*(10^(-4))/F101</f>
        <v>#DIV/0!</v>
      </c>
      <c r="G109" s="2873" t="e">
        <f>(-0.161*(G108^2)-7.509*G108+6533)*(10^(-4))/G101</f>
        <v>#DIV/0!</v>
      </c>
      <c r="H109" s="2873" t="e">
        <f>(-0.161*(H108^2)-7.509*H108+6533)*(10^(-4))/H101</f>
        <v>#DIV/0!</v>
      </c>
      <c r="I109" s="2873" t="e">
        <f>(-0.161*(I108^2)-7.509*I108+6533)*(10^(-4))/I101</f>
        <v>#DIV/0!</v>
      </c>
      <c r="J109" s="2873" t="e">
        <f>(-0.214*(J108^2)-21.991*J108+4665)*(10^(-4))/J101</f>
        <v>#DIV/0!</v>
      </c>
      <c r="K109" s="2873" t="e">
        <f>(-0.214*(K108^2)-21.991*K108+4665)*(10^(-4))/K101</f>
        <v>#DIV/0!</v>
      </c>
      <c r="L109" s="2873" t="e">
        <f>(-0.214*(L108^2)-21.991*L108+4665)*(10^(-4))/L101</f>
        <v>#DIV/0!</v>
      </c>
      <c r="M109" s="2873" t="e">
        <f>(-0.214*(M108^2)-21.991*M108+4665)*(10^(-4))/M101</f>
        <v>#DIV/0!</v>
      </c>
      <c r="N109" s="2873" t="e">
        <f>(-0.214*(N108^2)-21.991*N108+4665)*(10^(-4))/N101</f>
        <v>#DIV/0!</v>
      </c>
    </row>
    <row r="110" spans="1:14">
      <c r="A110" s="3300" t="s">
        <v>2968</v>
      </c>
      <c r="B110" s="3300"/>
      <c r="C110" s="3300"/>
      <c r="D110" s="3300"/>
      <c r="E110" s="3300"/>
      <c r="F110" s="3300"/>
      <c r="G110" s="3300"/>
      <c r="H110" s="3300"/>
      <c r="I110" s="3300"/>
      <c r="J110" s="3300"/>
      <c r="K110" s="2876"/>
      <c r="L110" s="2876"/>
      <c r="M110" s="2876"/>
      <c r="N110" s="2876"/>
    </row>
    <row r="112" spans="1:14" ht="13.5" thickBot="1"/>
    <row r="113" spans="1:13" ht="25.5" thickBot="1">
      <c r="A113" s="886" t="s">
        <v>2969</v>
      </c>
      <c r="B113" s="1270" t="e">
        <f>G3</f>
        <v>#DIV/0!</v>
      </c>
      <c r="C113" s="887" t="s">
        <v>2970</v>
      </c>
      <c r="D113" s="888" t="e">
        <f>SUMPRODUCT((A115:A118=F113)*(B114:M114=H113)*B115:M118)</f>
        <v>#DIV/0!</v>
      </c>
      <c r="E113" s="2707" t="s">
        <v>2802</v>
      </c>
      <c r="F113" s="2878">
        <f>E2</f>
        <v>0</v>
      </c>
      <c r="G113" s="2707" t="s">
        <v>2803</v>
      </c>
      <c r="H113" s="2878">
        <f>G2</f>
        <v>0</v>
      </c>
      <c r="I113" s="2707"/>
      <c r="J113" s="2879"/>
      <c r="K113" s="2879"/>
      <c r="L113" s="2879"/>
      <c r="M113" s="2879"/>
    </row>
    <row r="114" spans="1:13">
      <c r="A114" s="891"/>
      <c r="B114" s="2880" t="s">
        <v>2971</v>
      </c>
      <c r="C114" s="2880" t="s">
        <v>2972</v>
      </c>
      <c r="D114" s="2880" t="s">
        <v>2973</v>
      </c>
      <c r="E114" s="2881" t="s">
        <v>2974</v>
      </c>
      <c r="F114" s="2881" t="s">
        <v>2975</v>
      </c>
      <c r="G114" s="2881" t="s">
        <v>2976</v>
      </c>
      <c r="H114" s="2882" t="s">
        <v>2977</v>
      </c>
      <c r="I114" s="2882" t="s">
        <v>2978</v>
      </c>
      <c r="J114" s="2883" t="s">
        <v>2979</v>
      </c>
      <c r="K114" s="2883" t="s">
        <v>2980</v>
      </c>
      <c r="L114" s="2883" t="s">
        <v>2981</v>
      </c>
      <c r="M114" s="2884" t="s">
        <v>2982</v>
      </c>
    </row>
    <row r="115" spans="1:13">
      <c r="A115" s="892" t="s">
        <v>2867</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2868</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2869</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5" thickBot="1">
      <c r="A118" s="701" t="s">
        <v>2870</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37"/>
  <dimension ref="A1:M119"/>
  <sheetViews>
    <sheetView workbookViewId="0">
      <selection activeCell="A15" sqref="A15:M15"/>
    </sheetView>
  </sheetViews>
  <sheetFormatPr defaultColWidth="8.25" defaultRowHeight="19.5" customHeight="1"/>
  <cols>
    <col min="1" max="1" width="13.625" style="799" customWidth="1"/>
    <col min="2" max="9" width="8.25" style="861" customWidth="1"/>
    <col min="10" max="13" width="8.25" style="799"/>
    <col min="14" max="14" width="10" style="799" customWidth="1"/>
    <col min="15" max="16" width="8.25" style="799"/>
    <col min="17" max="17" width="34.125" style="799" customWidth="1"/>
    <col min="18" max="18" width="8.25" style="799" customWidth="1"/>
    <col min="19" max="19" width="8.25" style="799"/>
    <col min="20" max="20" width="11.625" style="799" customWidth="1"/>
    <col min="21" max="16384" width="8.2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3033</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320" t="s">
        <v>183</v>
      </c>
      <c r="B18" s="865" t="s">
        <v>560</v>
      </c>
      <c r="C18" s="866" t="s">
        <v>561</v>
      </c>
      <c r="D18" s="867"/>
      <c r="E18" s="865">
        <v>1</v>
      </c>
      <c r="F18" s="868" t="s">
        <v>562</v>
      </c>
      <c r="G18" s="869"/>
      <c r="H18" s="861"/>
      <c r="I18" s="861"/>
    </row>
    <row r="19" spans="1:9" s="870" customFormat="1" ht="19.5" customHeight="1">
      <c r="A19" s="3320"/>
      <c r="B19" s="3320" t="s">
        <v>563</v>
      </c>
      <c r="C19" s="866" t="s">
        <v>564</v>
      </c>
      <c r="D19" s="867"/>
      <c r="E19" s="865">
        <v>0.9</v>
      </c>
      <c r="F19" s="868" t="s">
        <v>565</v>
      </c>
      <c r="G19" s="869"/>
      <c r="H19" s="861"/>
      <c r="I19" s="861"/>
    </row>
    <row r="20" spans="1:9" s="870" customFormat="1" ht="19.5" customHeight="1">
      <c r="A20" s="3320"/>
      <c r="B20" s="3320"/>
      <c r="C20" s="866" t="s">
        <v>566</v>
      </c>
      <c r="D20" s="867"/>
      <c r="E20" s="865">
        <v>1.1000000000000001</v>
      </c>
      <c r="F20" s="868" t="s">
        <v>567</v>
      </c>
      <c r="G20" s="869"/>
      <c r="H20" s="861"/>
      <c r="I20" s="861"/>
    </row>
    <row r="21" spans="1:9" s="870" customFormat="1" ht="19.5" customHeight="1">
      <c r="A21" s="3320"/>
      <c r="B21" s="3320"/>
      <c r="C21" s="866" t="s">
        <v>568</v>
      </c>
      <c r="D21" s="867"/>
      <c r="E21" s="865">
        <v>0.8</v>
      </c>
      <c r="F21" s="868" t="s">
        <v>569</v>
      </c>
      <c r="G21" s="869"/>
      <c r="H21" s="861"/>
      <c r="I21" s="861"/>
    </row>
    <row r="22" spans="1:9" s="870" customFormat="1" ht="19.5" customHeight="1">
      <c r="A22" s="3320"/>
      <c r="B22" s="3320"/>
      <c r="C22" s="866" t="s">
        <v>570</v>
      </c>
      <c r="D22" s="867"/>
      <c r="E22" s="865">
        <v>0.5</v>
      </c>
      <c r="F22" s="868"/>
      <c r="G22" s="869"/>
      <c r="H22" s="861"/>
      <c r="I22" s="861"/>
    </row>
    <row r="23" spans="1:9" s="870" customFormat="1" ht="19.5" customHeight="1">
      <c r="A23" s="3320" t="s">
        <v>184</v>
      </c>
      <c r="B23" s="865" t="s">
        <v>560</v>
      </c>
      <c r="C23" s="866" t="s">
        <v>571</v>
      </c>
      <c r="D23" s="867"/>
      <c r="E23" s="865">
        <v>1</v>
      </c>
      <c r="F23" s="868" t="s">
        <v>572</v>
      </c>
      <c r="G23" s="869"/>
      <c r="H23" s="861"/>
      <c r="I23" s="861"/>
    </row>
    <row r="24" spans="1:9" s="870" customFormat="1" ht="19.5" customHeight="1">
      <c r="A24" s="3320"/>
      <c r="B24" s="3320" t="s">
        <v>563</v>
      </c>
      <c r="C24" s="866" t="s">
        <v>573</v>
      </c>
      <c r="D24" s="867"/>
      <c r="E24" s="865">
        <v>0.5</v>
      </c>
      <c r="F24" s="868"/>
      <c r="G24" s="869"/>
      <c r="H24" s="861"/>
      <c r="I24" s="861"/>
    </row>
    <row r="25" spans="1:9" s="870" customFormat="1" ht="19.5" customHeight="1">
      <c r="A25" s="3320"/>
      <c r="B25" s="3320"/>
      <c r="C25" s="866" t="s">
        <v>574</v>
      </c>
      <c r="D25" s="867"/>
      <c r="E25" s="865">
        <v>1.1000000000000001</v>
      </c>
      <c r="F25" s="868"/>
      <c r="G25" s="869"/>
      <c r="H25" s="861"/>
      <c r="I25" s="861"/>
    </row>
    <row r="26" spans="1:9" s="870" customFormat="1" ht="19.5" customHeight="1">
      <c r="A26" s="3320"/>
      <c r="B26" s="3320"/>
      <c r="C26" s="866" t="s">
        <v>575</v>
      </c>
      <c r="D26" s="867"/>
      <c r="E26" s="865">
        <v>1.1000000000000001</v>
      </c>
      <c r="F26" s="868"/>
      <c r="G26" s="869"/>
      <c r="H26" s="861"/>
      <c r="I26" s="861"/>
    </row>
    <row r="27" spans="1:9" s="870" customFormat="1" ht="19.5" customHeight="1">
      <c r="A27" s="3320"/>
      <c r="B27" s="3320"/>
      <c r="C27" s="866" t="s">
        <v>576</v>
      </c>
      <c r="D27" s="867"/>
      <c r="E27" s="865">
        <v>0.9</v>
      </c>
      <c r="F27" s="868" t="s">
        <v>577</v>
      </c>
      <c r="G27" s="869"/>
      <c r="H27" s="861"/>
      <c r="I27" s="861"/>
    </row>
    <row r="28" spans="1:9" s="870" customFormat="1" ht="19.5" customHeight="1">
      <c r="A28" s="3320"/>
      <c r="B28" s="3320"/>
      <c r="C28" s="866" t="s">
        <v>578</v>
      </c>
      <c r="D28" s="867"/>
      <c r="E28" s="865">
        <v>0.9</v>
      </c>
      <c r="F28" s="868" t="s">
        <v>579</v>
      </c>
      <c r="G28" s="869"/>
      <c r="H28" s="861"/>
      <c r="I28" s="861"/>
    </row>
    <row r="29" spans="1:9" s="870" customFormat="1" ht="19.5" customHeight="1">
      <c r="A29" s="3320"/>
      <c r="B29" s="3320"/>
      <c r="C29" s="866" t="s">
        <v>580</v>
      </c>
      <c r="D29" s="867"/>
      <c r="E29" s="865">
        <v>0.9</v>
      </c>
      <c r="F29" s="868" t="s">
        <v>581</v>
      </c>
      <c r="G29" s="869"/>
      <c r="H29" s="861"/>
      <c r="I29" s="861"/>
    </row>
    <row r="30" spans="1:9" s="870" customFormat="1" ht="19.5" customHeight="1">
      <c r="A30" s="3320"/>
      <c r="B30" s="3320"/>
      <c r="C30" s="866" t="s">
        <v>582</v>
      </c>
      <c r="D30" s="867"/>
      <c r="E30" s="865">
        <v>0.9</v>
      </c>
      <c r="F30" s="868" t="s">
        <v>583</v>
      </c>
      <c r="G30" s="869"/>
      <c r="H30" s="861"/>
      <c r="I30" s="861"/>
    </row>
    <row r="31" spans="1:9" s="870" customFormat="1" ht="19.5" customHeight="1">
      <c r="A31" s="3320"/>
      <c r="B31" s="3320"/>
      <c r="C31" s="866" t="s">
        <v>584</v>
      </c>
      <c r="D31" s="867"/>
      <c r="E31" s="865">
        <v>0.8</v>
      </c>
      <c r="F31" s="868" t="s">
        <v>585</v>
      </c>
      <c r="G31" s="869"/>
      <c r="H31" s="861"/>
      <c r="I31" s="861"/>
    </row>
    <row r="32" spans="1:9" s="870" customFormat="1" ht="19.5" customHeight="1">
      <c r="A32" s="3320"/>
      <c r="B32" s="3320"/>
      <c r="C32" s="866" t="s">
        <v>586</v>
      </c>
      <c r="D32" s="867"/>
      <c r="E32" s="865">
        <v>0.8</v>
      </c>
      <c r="F32" s="868" t="s">
        <v>587</v>
      </c>
      <c r="G32" s="869"/>
      <c r="H32" s="861"/>
      <c r="I32" s="861"/>
    </row>
    <row r="33" spans="1:9" s="870" customFormat="1" ht="19.5" customHeight="1">
      <c r="A33" s="3320" t="s">
        <v>185</v>
      </c>
      <c r="B33" s="865" t="s">
        <v>560</v>
      </c>
      <c r="C33" s="866" t="s">
        <v>588</v>
      </c>
      <c r="D33" s="867"/>
      <c r="E33" s="865">
        <v>1</v>
      </c>
      <c r="F33" s="868" t="s">
        <v>589</v>
      </c>
      <c r="G33" s="869"/>
      <c r="H33" s="861"/>
      <c r="I33" s="861"/>
    </row>
    <row r="34" spans="1:9" s="870" customFormat="1" ht="19.5" customHeight="1">
      <c r="A34" s="3320"/>
      <c r="B34" s="865" t="s">
        <v>563</v>
      </c>
      <c r="C34" s="866" t="s">
        <v>590</v>
      </c>
      <c r="D34" s="867"/>
      <c r="E34" s="865">
        <v>1.5</v>
      </c>
      <c r="F34" s="868" t="s">
        <v>591</v>
      </c>
      <c r="G34" s="869"/>
      <c r="H34" s="861"/>
      <c r="I34" s="861"/>
    </row>
    <row r="35" spans="1:9" s="870" customFormat="1" ht="19.5" customHeight="1">
      <c r="A35" s="3320" t="s">
        <v>186</v>
      </c>
      <c r="B35" s="865" t="s">
        <v>560</v>
      </c>
      <c r="C35" s="866" t="s">
        <v>592</v>
      </c>
      <c r="D35" s="867"/>
      <c r="E35" s="865">
        <v>1</v>
      </c>
      <c r="F35" s="868" t="s">
        <v>593</v>
      </c>
      <c r="G35" s="869"/>
      <c r="H35" s="861"/>
      <c r="I35" s="861"/>
    </row>
    <row r="36" spans="1:9" s="870" customFormat="1" ht="19.5" customHeight="1">
      <c r="A36" s="3320"/>
      <c r="B36" s="3320" t="s">
        <v>563</v>
      </c>
      <c r="C36" s="866" t="s">
        <v>594</v>
      </c>
      <c r="D36" s="867"/>
      <c r="E36" s="865">
        <v>1</v>
      </c>
      <c r="F36" s="868" t="s">
        <v>595</v>
      </c>
      <c r="G36" s="869"/>
      <c r="H36" s="861"/>
      <c r="I36" s="861"/>
    </row>
    <row r="37" spans="1:9" s="870" customFormat="1" ht="19.5" customHeight="1">
      <c r="A37" s="3320"/>
      <c r="B37" s="3320"/>
      <c r="C37" s="866" t="s">
        <v>596</v>
      </c>
      <c r="D37" s="867"/>
      <c r="E37" s="865">
        <v>1.5</v>
      </c>
      <c r="F37" s="868" t="s">
        <v>597</v>
      </c>
      <c r="G37" s="869"/>
      <c r="H37" s="861"/>
      <c r="I37" s="861"/>
    </row>
    <row r="38" spans="1:9" s="870" customFormat="1" ht="19.5" customHeight="1">
      <c r="A38" s="3320"/>
      <c r="B38" s="3320"/>
      <c r="C38" s="866" t="s">
        <v>598</v>
      </c>
      <c r="D38" s="867"/>
      <c r="E38" s="865">
        <v>1</v>
      </c>
      <c r="F38" s="868" t="s">
        <v>599</v>
      </c>
      <c r="G38" s="869"/>
      <c r="H38" s="861"/>
      <c r="I38" s="861"/>
    </row>
    <row r="39" spans="1:9" s="870" customFormat="1" ht="19.5" customHeight="1">
      <c r="A39" s="3320"/>
      <c r="B39" s="3320"/>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3.5">
      <c r="A60" s="923"/>
      <c r="B60" s="923"/>
      <c r="C60" s="923" t="s">
        <v>745</v>
      </c>
      <c r="D60" s="923"/>
      <c r="E60" s="878" t="s">
        <v>1</v>
      </c>
      <c r="F60" s="923" t="s">
        <v>1</v>
      </c>
    </row>
    <row r="61" spans="1:8" s="861" customFormat="1" ht="24">
      <c r="A61" s="865">
        <v>1</v>
      </c>
      <c r="B61" s="3320" t="s">
        <v>614</v>
      </c>
      <c r="C61" s="801" t="s">
        <v>615</v>
      </c>
      <c r="D61" s="801" t="s">
        <v>616</v>
      </c>
      <c r="E61" s="878">
        <v>0.5</v>
      </c>
      <c r="F61" s="865">
        <v>80</v>
      </c>
    </row>
    <row r="62" spans="1:8" s="861" customFormat="1" ht="24">
      <c r="A62" s="865">
        <v>2</v>
      </c>
      <c r="B62" s="3320"/>
      <c r="C62" s="801" t="s">
        <v>617</v>
      </c>
      <c r="D62" s="801" t="s">
        <v>618</v>
      </c>
      <c r="E62" s="878">
        <v>0.5</v>
      </c>
      <c r="F62" s="865">
        <v>80</v>
      </c>
    </row>
    <row r="63" spans="1:8" s="861" customFormat="1" ht="36">
      <c r="A63" s="865">
        <v>3</v>
      </c>
      <c r="B63" s="3320"/>
      <c r="C63" s="801" t="s">
        <v>619</v>
      </c>
      <c r="D63" s="801" t="s">
        <v>620</v>
      </c>
      <c r="E63" s="878">
        <v>0.5</v>
      </c>
      <c r="F63" s="865">
        <v>80</v>
      </c>
    </row>
    <row r="64" spans="1:8" s="861" customFormat="1" ht="36">
      <c r="A64" s="865">
        <v>4</v>
      </c>
      <c r="B64" s="3320"/>
      <c r="C64" s="801" t="s">
        <v>621</v>
      </c>
      <c r="D64" s="801" t="s">
        <v>622</v>
      </c>
      <c r="E64" s="878">
        <v>0.4</v>
      </c>
      <c r="F64" s="865">
        <v>60</v>
      </c>
    </row>
    <row r="65" spans="1:6" s="861" customFormat="1" ht="36">
      <c r="A65" s="865">
        <v>5</v>
      </c>
      <c r="B65" s="3320"/>
      <c r="C65" s="801" t="s">
        <v>623</v>
      </c>
      <c r="D65" s="801" t="s">
        <v>624</v>
      </c>
      <c r="E65" s="878">
        <v>0.2</v>
      </c>
      <c r="F65" s="865">
        <v>30</v>
      </c>
    </row>
    <row r="66" spans="1:6" s="861" customFormat="1" ht="36">
      <c r="A66" s="865">
        <v>6</v>
      </c>
      <c r="B66" s="3320"/>
      <c r="C66" s="801" t="s">
        <v>625</v>
      </c>
      <c r="D66" s="801" t="s">
        <v>626</v>
      </c>
      <c r="E66" s="878">
        <v>0.3</v>
      </c>
      <c r="F66" s="865">
        <v>50</v>
      </c>
    </row>
    <row r="67" spans="1:6" s="861" customFormat="1" ht="36">
      <c r="A67" s="865">
        <v>7</v>
      </c>
      <c r="B67" s="3320"/>
      <c r="C67" s="801" t="s">
        <v>627</v>
      </c>
      <c r="D67" s="801" t="s">
        <v>628</v>
      </c>
      <c r="E67" s="878">
        <v>0.2</v>
      </c>
      <c r="F67" s="865">
        <v>30</v>
      </c>
    </row>
    <row r="68" spans="1:6" s="861" customFormat="1" ht="36">
      <c r="A68" s="865">
        <v>8</v>
      </c>
      <c r="B68" s="3320"/>
      <c r="C68" s="801" t="s">
        <v>629</v>
      </c>
      <c r="D68" s="801" t="s">
        <v>630</v>
      </c>
      <c r="E68" s="878">
        <v>0.2</v>
      </c>
      <c r="F68" s="865">
        <v>30</v>
      </c>
    </row>
    <row r="69" spans="1:6" s="861" customFormat="1" ht="36">
      <c r="A69" s="865">
        <v>9</v>
      </c>
      <c r="B69" s="3320"/>
      <c r="C69" s="801" t="s">
        <v>631</v>
      </c>
      <c r="D69" s="801" t="s">
        <v>632</v>
      </c>
      <c r="E69" s="878">
        <v>0.2</v>
      </c>
      <c r="F69" s="865">
        <v>30</v>
      </c>
    </row>
    <row r="70" spans="1:6" s="861" customFormat="1" ht="48">
      <c r="A70" s="865">
        <v>10</v>
      </c>
      <c r="B70" s="3320"/>
      <c r="C70" s="801" t="s">
        <v>633</v>
      </c>
      <c r="D70" s="801" t="s">
        <v>634</v>
      </c>
      <c r="E70" s="878">
        <v>0.2</v>
      </c>
      <c r="F70" s="865">
        <v>30</v>
      </c>
    </row>
    <row r="71" spans="1:6" s="861" customFormat="1" ht="48">
      <c r="A71" s="865">
        <v>11</v>
      </c>
      <c r="B71" s="3320"/>
      <c r="C71" s="801" t="s">
        <v>635</v>
      </c>
      <c r="D71" s="801" t="s">
        <v>636</v>
      </c>
      <c r="E71" s="878">
        <v>0.2</v>
      </c>
      <c r="F71" s="865">
        <v>30</v>
      </c>
    </row>
    <row r="72" spans="1:6" s="861" customFormat="1" ht="36">
      <c r="A72" s="865">
        <v>12</v>
      </c>
      <c r="B72" s="3320"/>
      <c r="C72" s="801" t="s">
        <v>637</v>
      </c>
      <c r="D72" s="801" t="s">
        <v>638</v>
      </c>
      <c r="E72" s="878">
        <v>0.5</v>
      </c>
      <c r="F72" s="865">
        <v>80</v>
      </c>
    </row>
    <row r="73" spans="1:6" s="861" customFormat="1" ht="24">
      <c r="A73" s="865">
        <v>13</v>
      </c>
      <c r="B73" s="3320"/>
      <c r="C73" s="801" t="s">
        <v>639</v>
      </c>
      <c r="D73" s="801" t="s">
        <v>640</v>
      </c>
      <c r="E73" s="878">
        <v>0.4</v>
      </c>
      <c r="F73" s="865">
        <v>60</v>
      </c>
    </row>
    <row r="74" spans="1:6" s="861" customFormat="1" ht="24">
      <c r="A74" s="865">
        <v>14</v>
      </c>
      <c r="B74" s="3320"/>
      <c r="C74" s="801" t="s">
        <v>641</v>
      </c>
      <c r="D74" s="801" t="s">
        <v>642</v>
      </c>
      <c r="E74" s="878">
        <v>0.2</v>
      </c>
      <c r="F74" s="865">
        <v>30</v>
      </c>
    </row>
    <row r="75" spans="1:6" s="861" customFormat="1" ht="24">
      <c r="A75" s="865">
        <v>15</v>
      </c>
      <c r="B75" s="3320"/>
      <c r="C75" s="801" t="s">
        <v>643</v>
      </c>
      <c r="D75" s="801" t="s">
        <v>644</v>
      </c>
      <c r="E75" s="878">
        <v>0.2</v>
      </c>
      <c r="F75" s="865">
        <v>30</v>
      </c>
    </row>
    <row r="76" spans="1:6" s="861" customFormat="1" ht="24">
      <c r="A76" s="865">
        <v>16</v>
      </c>
      <c r="B76" s="3320" t="s">
        <v>645</v>
      </c>
      <c r="C76" s="801" t="s">
        <v>646</v>
      </c>
      <c r="D76" s="801" t="s">
        <v>647</v>
      </c>
      <c r="E76" s="878">
        <v>0.5</v>
      </c>
      <c r="F76" s="865">
        <v>80</v>
      </c>
    </row>
    <row r="77" spans="1:6" s="861" customFormat="1" ht="24">
      <c r="A77" s="865">
        <v>17</v>
      </c>
      <c r="B77" s="3320"/>
      <c r="C77" s="801" t="s">
        <v>648</v>
      </c>
      <c r="D77" s="801" t="s">
        <v>649</v>
      </c>
      <c r="E77" s="878">
        <v>0.5</v>
      </c>
      <c r="F77" s="865">
        <v>80</v>
      </c>
    </row>
    <row r="78" spans="1:6" s="861" customFormat="1" ht="24">
      <c r="A78" s="865">
        <v>18</v>
      </c>
      <c r="B78" s="3320"/>
      <c r="C78" s="801" t="s">
        <v>650</v>
      </c>
      <c r="D78" s="801" t="s">
        <v>651</v>
      </c>
      <c r="E78" s="878">
        <v>0.2</v>
      </c>
      <c r="F78" s="865">
        <v>30</v>
      </c>
    </row>
    <row r="79" spans="1:6" s="861" customFormat="1" ht="24">
      <c r="A79" s="865">
        <v>19</v>
      </c>
      <c r="B79" s="3320"/>
      <c r="C79" s="801" t="s">
        <v>652</v>
      </c>
      <c r="D79" s="801" t="s">
        <v>653</v>
      </c>
      <c r="E79" s="878">
        <v>0.5</v>
      </c>
      <c r="F79" s="865">
        <v>80</v>
      </c>
    </row>
    <row r="80" spans="1:6" s="861" customFormat="1" ht="36">
      <c r="A80" s="865">
        <v>20</v>
      </c>
      <c r="B80" s="3320"/>
      <c r="C80" s="801" t="s">
        <v>654</v>
      </c>
      <c r="D80" s="801" t="s">
        <v>655</v>
      </c>
      <c r="E80" s="878">
        <v>0.2</v>
      </c>
      <c r="F80" s="865">
        <v>30</v>
      </c>
    </row>
    <row r="81" spans="1:6" s="861" customFormat="1" ht="36">
      <c r="A81" s="865">
        <v>21</v>
      </c>
      <c r="B81" s="3320"/>
      <c r="C81" s="801" t="s">
        <v>656</v>
      </c>
      <c r="D81" s="801" t="s">
        <v>657</v>
      </c>
      <c r="E81" s="878">
        <v>0.2</v>
      </c>
      <c r="F81" s="865">
        <v>30</v>
      </c>
    </row>
    <row r="82" spans="1:6" s="861" customFormat="1" ht="48">
      <c r="A82" s="865">
        <v>22</v>
      </c>
      <c r="B82" s="3320"/>
      <c r="C82" s="801" t="s">
        <v>658</v>
      </c>
      <c r="D82" s="801" t="s">
        <v>659</v>
      </c>
      <c r="E82" s="878">
        <v>0.2</v>
      </c>
      <c r="F82" s="865">
        <v>30</v>
      </c>
    </row>
    <row r="83" spans="1:6" s="861" customFormat="1" ht="48">
      <c r="A83" s="865">
        <v>23</v>
      </c>
      <c r="B83" s="3320"/>
      <c r="C83" s="801" t="s">
        <v>660</v>
      </c>
      <c r="D83" s="801" t="s">
        <v>661</v>
      </c>
      <c r="E83" s="878">
        <v>0.2</v>
      </c>
      <c r="F83" s="865">
        <v>30</v>
      </c>
    </row>
    <row r="84" spans="1:6" s="861" customFormat="1" ht="36">
      <c r="A84" s="865">
        <v>24</v>
      </c>
      <c r="B84" s="3320"/>
      <c r="C84" s="801" t="s">
        <v>662</v>
      </c>
      <c r="D84" s="801" t="s">
        <v>663</v>
      </c>
      <c r="E84" s="878">
        <v>0.2</v>
      </c>
      <c r="F84" s="865">
        <v>30</v>
      </c>
    </row>
    <row r="85" spans="1:6" s="861" customFormat="1" ht="36">
      <c r="A85" s="865">
        <v>25</v>
      </c>
      <c r="B85" s="3320"/>
      <c r="C85" s="801" t="s">
        <v>664</v>
      </c>
      <c r="D85" s="801" t="s">
        <v>665</v>
      </c>
      <c r="E85" s="878">
        <v>0.5</v>
      </c>
      <c r="F85" s="865">
        <v>80</v>
      </c>
    </row>
    <row r="86" spans="1:6" s="861" customFormat="1" ht="36">
      <c r="A86" s="865">
        <v>26</v>
      </c>
      <c r="B86" s="3320"/>
      <c r="C86" s="801" t="s">
        <v>666</v>
      </c>
      <c r="D86" s="801" t="s">
        <v>667</v>
      </c>
      <c r="E86" s="878">
        <v>0.2</v>
      </c>
      <c r="F86" s="865">
        <v>30</v>
      </c>
    </row>
    <row r="87" spans="1:6" s="861" customFormat="1" ht="36">
      <c r="A87" s="865">
        <v>27</v>
      </c>
      <c r="B87" s="3320"/>
      <c r="C87" s="801" t="s">
        <v>668</v>
      </c>
      <c r="D87" s="801" t="s">
        <v>669</v>
      </c>
      <c r="E87" s="878">
        <v>0.2</v>
      </c>
      <c r="F87" s="865">
        <v>30</v>
      </c>
    </row>
    <row r="88" spans="1:6" s="861" customFormat="1" ht="36">
      <c r="A88" s="865">
        <v>28</v>
      </c>
      <c r="B88" s="3320"/>
      <c r="C88" s="801" t="s">
        <v>670</v>
      </c>
      <c r="D88" s="801" t="s">
        <v>671</v>
      </c>
      <c r="E88" s="878">
        <v>0.2</v>
      </c>
      <c r="F88" s="865">
        <v>30</v>
      </c>
    </row>
    <row r="89" spans="1:6" s="861" customFormat="1" ht="24">
      <c r="A89" s="865">
        <v>29</v>
      </c>
      <c r="B89" s="3320"/>
      <c r="C89" s="801" t="s">
        <v>672</v>
      </c>
      <c r="D89" s="801" t="s">
        <v>673</v>
      </c>
      <c r="E89" s="878">
        <v>0.2</v>
      </c>
      <c r="F89" s="865">
        <v>30</v>
      </c>
    </row>
    <row r="90" spans="1:6" s="861" customFormat="1" ht="24">
      <c r="A90" s="865">
        <v>30</v>
      </c>
      <c r="B90" s="3320"/>
      <c r="C90" s="801" t="s">
        <v>674</v>
      </c>
      <c r="D90" s="801" t="s">
        <v>675</v>
      </c>
      <c r="E90" s="878">
        <v>0.2</v>
      </c>
      <c r="F90" s="865">
        <v>30</v>
      </c>
    </row>
    <row r="91" spans="1:6" s="861" customFormat="1" ht="36">
      <c r="A91" s="865">
        <v>31</v>
      </c>
      <c r="B91" s="3320"/>
      <c r="C91" s="801" t="s">
        <v>676</v>
      </c>
      <c r="D91" s="801" t="s">
        <v>677</v>
      </c>
      <c r="E91" s="878">
        <v>0.2</v>
      </c>
      <c r="F91" s="865">
        <v>30</v>
      </c>
    </row>
    <row r="92" spans="1:6" s="861" customFormat="1" ht="24">
      <c r="A92" s="865">
        <v>32</v>
      </c>
      <c r="B92" s="3320" t="s">
        <v>678</v>
      </c>
      <c r="C92" s="865" t="s">
        <v>679</v>
      </c>
      <c r="D92" s="801" t="s">
        <v>680</v>
      </c>
      <c r="E92" s="878">
        <v>0.2</v>
      </c>
      <c r="F92" s="865">
        <v>30</v>
      </c>
    </row>
    <row r="93" spans="1:6" s="861" customFormat="1" ht="36">
      <c r="A93" s="865">
        <v>33</v>
      </c>
      <c r="B93" s="3320"/>
      <c r="C93" s="865" t="s">
        <v>681</v>
      </c>
      <c r="D93" s="801" t="s">
        <v>682</v>
      </c>
      <c r="E93" s="878">
        <v>0.2</v>
      </c>
      <c r="F93" s="865">
        <v>30</v>
      </c>
    </row>
    <row r="94" spans="1:6" s="861" customFormat="1" ht="48">
      <c r="A94" s="865">
        <v>34</v>
      </c>
      <c r="B94" s="3320"/>
      <c r="C94" s="865" t="s">
        <v>683</v>
      </c>
      <c r="D94" s="801" t="s">
        <v>684</v>
      </c>
      <c r="E94" s="878">
        <v>0.2</v>
      </c>
      <c r="F94" s="865">
        <v>30</v>
      </c>
    </row>
    <row r="95" spans="1:6" s="861" customFormat="1" ht="36">
      <c r="A95" s="865">
        <v>35</v>
      </c>
      <c r="B95" s="3320"/>
      <c r="C95" s="865" t="s">
        <v>685</v>
      </c>
      <c r="D95" s="801" t="s">
        <v>686</v>
      </c>
      <c r="E95" s="878">
        <v>0.2</v>
      </c>
      <c r="F95" s="865">
        <v>30</v>
      </c>
    </row>
    <row r="96" spans="1:6" s="861" customFormat="1" ht="48">
      <c r="A96" s="865">
        <v>36</v>
      </c>
      <c r="B96" s="3320"/>
      <c r="C96" s="801" t="s">
        <v>687</v>
      </c>
      <c r="D96" s="801" t="s">
        <v>688</v>
      </c>
      <c r="E96" s="878">
        <v>0.2</v>
      </c>
      <c r="F96" s="865">
        <v>30</v>
      </c>
    </row>
    <row r="97" spans="1:6" s="861" customFormat="1" ht="36">
      <c r="A97" s="865">
        <v>37</v>
      </c>
      <c r="B97" s="3320"/>
      <c r="C97" s="865" t="s">
        <v>689</v>
      </c>
      <c r="D97" s="801" t="s">
        <v>690</v>
      </c>
      <c r="E97" s="878">
        <v>0.2</v>
      </c>
      <c r="F97" s="865">
        <v>30</v>
      </c>
    </row>
    <row r="98" spans="1:6" s="861" customFormat="1" ht="36">
      <c r="A98" s="865">
        <v>38</v>
      </c>
      <c r="B98" s="3320"/>
      <c r="C98" s="865" t="s">
        <v>691</v>
      </c>
      <c r="D98" s="801" t="s">
        <v>692</v>
      </c>
      <c r="E98" s="878">
        <v>0.2</v>
      </c>
      <c r="F98" s="865">
        <v>30</v>
      </c>
    </row>
    <row r="99" spans="1:6" s="861" customFormat="1" ht="36">
      <c r="A99" s="865">
        <v>39</v>
      </c>
      <c r="B99" s="3320" t="s">
        <v>693</v>
      </c>
      <c r="C99" s="865" t="s">
        <v>694</v>
      </c>
      <c r="D99" s="801" t="s">
        <v>695</v>
      </c>
      <c r="E99" s="878">
        <v>0.3</v>
      </c>
      <c r="F99" s="865">
        <v>50</v>
      </c>
    </row>
    <row r="100" spans="1:6" s="861" customFormat="1" ht="24">
      <c r="A100" s="865">
        <v>40</v>
      </c>
      <c r="B100" s="3320"/>
      <c r="C100" s="865" t="s">
        <v>696</v>
      </c>
      <c r="D100" s="801" t="s">
        <v>697</v>
      </c>
      <c r="E100" s="878">
        <v>0.2</v>
      </c>
      <c r="F100" s="865">
        <v>30</v>
      </c>
    </row>
    <row r="101" spans="1:6" s="861" customFormat="1" ht="36">
      <c r="A101" s="865">
        <v>41</v>
      </c>
      <c r="B101" s="3320"/>
      <c r="C101" s="865" t="s">
        <v>698</v>
      </c>
      <c r="D101" s="801" t="s">
        <v>695</v>
      </c>
      <c r="E101" s="878">
        <v>0.2</v>
      </c>
      <c r="F101" s="865">
        <v>30</v>
      </c>
    </row>
    <row r="102" spans="1:6" s="861" customFormat="1" ht="48">
      <c r="A102" s="865">
        <v>42</v>
      </c>
      <c r="B102" s="865" t="s">
        <v>699</v>
      </c>
      <c r="C102" s="801" t="s">
        <v>700</v>
      </c>
      <c r="D102" s="801" t="s">
        <v>701</v>
      </c>
      <c r="E102" s="878">
        <v>0.2</v>
      </c>
      <c r="F102" s="865">
        <v>30</v>
      </c>
    </row>
    <row r="103" spans="1:6" s="861" customFormat="1" ht="24">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36">
      <c r="A105" s="865">
        <v>45</v>
      </c>
      <c r="B105" s="3320" t="s">
        <v>708</v>
      </c>
      <c r="C105" s="865" t="s">
        <v>709</v>
      </c>
      <c r="D105" s="801" t="s">
        <v>710</v>
      </c>
      <c r="E105" s="878">
        <v>0.2</v>
      </c>
      <c r="F105" s="865">
        <v>30</v>
      </c>
    </row>
    <row r="106" spans="1:6" s="861" customFormat="1" ht="36">
      <c r="A106" s="865">
        <v>46</v>
      </c>
      <c r="B106" s="3320"/>
      <c r="C106" s="865" t="s">
        <v>711</v>
      </c>
      <c r="D106" s="801" t="s">
        <v>712</v>
      </c>
      <c r="E106" s="878">
        <v>0.2</v>
      </c>
      <c r="F106" s="865">
        <v>30</v>
      </c>
    </row>
    <row r="107" spans="1:6" s="861" customFormat="1" ht="36">
      <c r="A107" s="865">
        <v>47</v>
      </c>
      <c r="B107" s="3320" t="s">
        <v>713</v>
      </c>
      <c r="C107" s="865" t="s">
        <v>714</v>
      </c>
      <c r="D107" s="801" t="s">
        <v>715</v>
      </c>
      <c r="E107" s="878">
        <v>0.3</v>
      </c>
      <c r="F107" s="865">
        <v>50</v>
      </c>
    </row>
    <row r="108" spans="1:6" s="861" customFormat="1" ht="36">
      <c r="A108" s="865">
        <v>48</v>
      </c>
      <c r="B108" s="3320"/>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36">
      <c r="A110" s="865">
        <v>50</v>
      </c>
      <c r="B110" s="865" t="s">
        <v>721</v>
      </c>
      <c r="C110" s="865" t="s">
        <v>722</v>
      </c>
      <c r="D110" s="801" t="s">
        <v>723</v>
      </c>
      <c r="E110" s="878">
        <v>0.2</v>
      </c>
      <c r="F110" s="865">
        <v>30</v>
      </c>
    </row>
    <row r="111" spans="1:6" s="861" customFormat="1" ht="36">
      <c r="A111" s="865">
        <v>51</v>
      </c>
      <c r="B111" s="3320" t="s">
        <v>724</v>
      </c>
      <c r="C111" s="865" t="s">
        <v>725</v>
      </c>
      <c r="D111" s="801" t="s">
        <v>726</v>
      </c>
      <c r="E111" s="878">
        <v>0.2</v>
      </c>
      <c r="F111" s="865">
        <v>30</v>
      </c>
    </row>
    <row r="112" spans="1:6" s="861" customFormat="1" ht="24">
      <c r="A112" s="865">
        <v>52</v>
      </c>
      <c r="B112" s="3320"/>
      <c r="C112" s="865" t="s">
        <v>727</v>
      </c>
      <c r="D112" s="801" t="s">
        <v>728</v>
      </c>
      <c r="E112" s="878">
        <v>0.2</v>
      </c>
      <c r="F112" s="865">
        <v>30</v>
      </c>
    </row>
    <row r="113" spans="1:6" s="861" customFormat="1" ht="24">
      <c r="A113" s="865">
        <v>53</v>
      </c>
      <c r="B113" s="3320"/>
      <c r="C113" s="865" t="s">
        <v>729</v>
      </c>
      <c r="D113" s="801" t="s">
        <v>730</v>
      </c>
      <c r="E113" s="878">
        <v>0.2</v>
      </c>
      <c r="F113" s="865">
        <v>30</v>
      </c>
    </row>
    <row r="114" spans="1:6" ht="36">
      <c r="A114" s="865">
        <v>54</v>
      </c>
      <c r="B114" s="865" t="s">
        <v>731</v>
      </c>
      <c r="C114" s="865" t="s">
        <v>732</v>
      </c>
      <c r="D114" s="801" t="s">
        <v>733</v>
      </c>
      <c r="E114" s="878">
        <v>0.2</v>
      </c>
      <c r="F114" s="865">
        <v>30</v>
      </c>
    </row>
    <row r="115" spans="1:6" ht="24">
      <c r="A115" s="865">
        <v>55</v>
      </c>
      <c r="B115" s="865" t="s">
        <v>734</v>
      </c>
      <c r="C115" s="865" t="s">
        <v>735</v>
      </c>
      <c r="D115" s="801" t="s">
        <v>736</v>
      </c>
      <c r="E115" s="878">
        <v>0.2</v>
      </c>
      <c r="F115" s="865">
        <v>30</v>
      </c>
    </row>
    <row r="116" spans="1:6" ht="24">
      <c r="A116" s="865">
        <v>56</v>
      </c>
      <c r="B116" s="3320" t="s">
        <v>737</v>
      </c>
      <c r="C116" s="865" t="s">
        <v>738</v>
      </c>
      <c r="D116" s="801" t="s">
        <v>739</v>
      </c>
      <c r="E116" s="878">
        <v>0.2</v>
      </c>
      <c r="F116" s="865">
        <v>30</v>
      </c>
    </row>
    <row r="117" spans="1:6" ht="36">
      <c r="A117" s="865">
        <v>57</v>
      </c>
      <c r="B117" s="3320"/>
      <c r="C117" s="865" t="s">
        <v>740</v>
      </c>
      <c r="D117" s="801" t="s">
        <v>741</v>
      </c>
      <c r="E117" s="878">
        <v>0.2</v>
      </c>
      <c r="F117" s="865">
        <v>30</v>
      </c>
    </row>
    <row r="118" spans="1:6" ht="36">
      <c r="A118" s="865">
        <v>58</v>
      </c>
      <c r="B118" s="865" t="s">
        <v>742</v>
      </c>
      <c r="C118" s="865" t="s">
        <v>743</v>
      </c>
      <c r="D118" s="801" t="s">
        <v>744</v>
      </c>
      <c r="E118" s="878">
        <v>0.2</v>
      </c>
      <c r="F118" s="865">
        <v>30</v>
      </c>
    </row>
    <row r="119" spans="1:6" ht="13.5">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38"/>
  <dimension ref="A1:N408"/>
  <sheetViews>
    <sheetView workbookViewId="0">
      <selection activeCell="V30" sqref="V30"/>
    </sheetView>
  </sheetViews>
  <sheetFormatPr defaultColWidth="9" defaultRowHeight="13.5"/>
  <cols>
    <col min="1" max="1" width="9" style="898"/>
    <col min="2" max="16384" width="9" style="881"/>
  </cols>
  <sheetData>
    <row r="1" spans="1:14" ht="14.25">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4.25">
      <c r="A103" s="879" t="s">
        <v>748</v>
      </c>
      <c r="B103" s="880"/>
      <c r="C103" s="880"/>
      <c r="D103" s="880"/>
      <c r="E103" s="880"/>
      <c r="F103" s="880"/>
      <c r="G103" s="880"/>
      <c r="H103" s="880"/>
      <c r="I103" s="880"/>
      <c r="J103" s="880"/>
      <c r="K103" s="880"/>
      <c r="L103" s="880"/>
      <c r="M103" s="880"/>
      <c r="N103" s="880"/>
    </row>
    <row r="104" spans="1:14" ht="14.25">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4.25">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4.25">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9">
    <tabColor rgb="FF92D050"/>
  </sheetPr>
  <dimension ref="A1:E13"/>
  <sheetViews>
    <sheetView workbookViewId="0">
      <selection activeCell="B3" sqref="B3"/>
    </sheetView>
  </sheetViews>
  <sheetFormatPr defaultColWidth="9" defaultRowHeight="14.25"/>
  <cols>
    <col min="1" max="1" width="23.375" style="1927" customWidth="1"/>
    <col min="2" max="2" width="12.5" style="1927" customWidth="1"/>
    <col min="3" max="3" width="12.125" style="1927" customWidth="1"/>
    <col min="4" max="4" width="14.125" style="1927" customWidth="1"/>
    <col min="5" max="5" width="12.5" style="1927" customWidth="1"/>
    <col min="6" max="16384" width="9" style="1927"/>
  </cols>
  <sheetData>
    <row r="1" spans="1:5" ht="21">
      <c r="A1" s="2544" t="s">
        <v>2991</v>
      </c>
    </row>
    <row r="2" spans="1:5" ht="15.75">
      <c r="A2" s="2885" t="s">
        <v>2983</v>
      </c>
      <c r="B2" s="2886" t="e">
        <f ca="1">SUMIF(B6:B13,"&lt;&gt;#ref!",B6:B13)</f>
        <v>#DIV/0!</v>
      </c>
      <c r="C2" s="2885" t="s">
        <v>2984</v>
      </c>
      <c r="D2" s="2885" t="s">
        <v>2985</v>
      </c>
      <c r="E2" s="2886">
        <f ca="1">SUMIF(E6:E13,"&lt;&gt;#ref!",E6:E13)</f>
        <v>0</v>
      </c>
    </row>
    <row r="3" spans="1:5" ht="15.75">
      <c r="A3" s="2885" t="s">
        <v>2986</v>
      </c>
      <c r="B3" s="2886" t="e">
        <f ca="1">ROUND(B2*10000/E2,0)</f>
        <v>#DIV/0!</v>
      </c>
      <c r="C3" s="2885" t="s">
        <v>2992</v>
      </c>
      <c r="D3" s="2887"/>
      <c r="E3" s="2887"/>
    </row>
    <row r="4" spans="1:5" ht="15.75">
      <c r="A4" s="2888"/>
      <c r="B4" s="2887"/>
      <c r="C4" s="2887"/>
      <c r="D4" s="2887"/>
      <c r="E4" s="2887"/>
    </row>
    <row r="5" spans="1:5" ht="28.5">
      <c r="A5" s="2889" t="s">
        <v>2987</v>
      </c>
      <c r="B5" s="2885" t="s">
        <v>2988</v>
      </c>
      <c r="C5" s="2886"/>
      <c r="D5" s="2887"/>
      <c r="E5" s="2885" t="s">
        <v>2989</v>
      </c>
    </row>
    <row r="6" spans="1:5" ht="15.75">
      <c r="A6" s="2890" t="s">
        <v>2990</v>
      </c>
      <c r="B6" s="2886" t="e">
        <f ca="1">SUMIF(INDIRECT("'"&amp;A6&amp;"'"&amp;"!A:A"),"总价",INDIRECT("'"&amp;A6&amp;"'"&amp;"!B:B"))</f>
        <v>#DIV/0!</v>
      </c>
      <c r="C6" s="2885" t="s">
        <v>2984</v>
      </c>
      <c r="D6" s="2887"/>
      <c r="E6" s="2558">
        <f ca="1">SUMIF(INDIRECT("'"&amp;A6&amp;"'"&amp;"!C:C"),"建筑面积",INDIRECT("'"&amp;A6&amp;"'"&amp;"!D:D"))</f>
        <v>0</v>
      </c>
    </row>
    <row r="7" spans="1:5" ht="15.75">
      <c r="A7" s="2890"/>
      <c r="B7" s="2886" t="e">
        <f ca="1">SUMIF(INDIRECT("'"&amp;A7&amp;"'"&amp;"!A:A"),"总价",INDIRECT("'"&amp;A7&amp;"'"&amp;"!B:B"))</f>
        <v>#REF!</v>
      </c>
      <c r="C7" s="2885" t="s">
        <v>2984</v>
      </c>
      <c r="D7" s="2887"/>
      <c r="E7" s="2558" t="e">
        <f t="shared" ref="E7:E13" ca="1" si="0">SUMIF(INDIRECT("'"&amp;A7&amp;"'"&amp;"!C:C"),"建筑面积",INDIRECT("'"&amp;A7&amp;"'"&amp;"!D:D"))</f>
        <v>#REF!</v>
      </c>
    </row>
    <row r="8" spans="1:5" ht="15.75">
      <c r="A8" s="2890"/>
      <c r="B8" s="2886" t="e">
        <f t="shared" ref="B8:B13" ca="1" si="1">SUMIF(INDIRECT("'"&amp;A8&amp;"'"&amp;"!A:A"),"总价",INDIRECT("'"&amp;A8&amp;"'"&amp;"!B:B"))</f>
        <v>#REF!</v>
      </c>
      <c r="C8" s="2885" t="s">
        <v>2984</v>
      </c>
      <c r="D8" s="2887"/>
      <c r="E8" s="2558" t="e">
        <f t="shared" ca="1" si="0"/>
        <v>#REF!</v>
      </c>
    </row>
    <row r="9" spans="1:5" ht="15.75">
      <c r="A9" s="2890"/>
      <c r="B9" s="2886" t="e">
        <f t="shared" ca="1" si="1"/>
        <v>#REF!</v>
      </c>
      <c r="C9" s="2885" t="s">
        <v>2984</v>
      </c>
      <c r="D9" s="2887"/>
      <c r="E9" s="2558" t="e">
        <f t="shared" ca="1" si="0"/>
        <v>#REF!</v>
      </c>
    </row>
    <row r="10" spans="1:5" ht="15.75">
      <c r="A10" s="2890"/>
      <c r="B10" s="2886" t="e">
        <f t="shared" ca="1" si="1"/>
        <v>#REF!</v>
      </c>
      <c r="C10" s="2885" t="s">
        <v>2984</v>
      </c>
      <c r="D10" s="2887"/>
      <c r="E10" s="2558" t="e">
        <f t="shared" ca="1" si="0"/>
        <v>#REF!</v>
      </c>
    </row>
    <row r="11" spans="1:5" ht="15.75">
      <c r="A11" s="2890"/>
      <c r="B11" s="2886" t="e">
        <f t="shared" ca="1" si="1"/>
        <v>#REF!</v>
      </c>
      <c r="C11" s="2885" t="s">
        <v>2984</v>
      </c>
      <c r="D11" s="2887"/>
      <c r="E11" s="2558" t="e">
        <f t="shared" ca="1" si="0"/>
        <v>#REF!</v>
      </c>
    </row>
    <row r="12" spans="1:5" ht="15.75">
      <c r="A12" s="2890"/>
      <c r="B12" s="2886" t="e">
        <f t="shared" ca="1" si="1"/>
        <v>#REF!</v>
      </c>
      <c r="C12" s="2885" t="s">
        <v>2984</v>
      </c>
      <c r="D12" s="2887"/>
      <c r="E12" s="2558" t="e">
        <f t="shared" ca="1" si="0"/>
        <v>#REF!</v>
      </c>
    </row>
    <row r="13" spans="1:5" ht="15.75">
      <c r="A13" s="2890"/>
      <c r="B13" s="2886" t="e">
        <f t="shared" ca="1" si="1"/>
        <v>#REF!</v>
      </c>
      <c r="C13" s="2885" t="s">
        <v>2984</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42" customWidth="1"/>
    <col min="2" max="2" width="37.25" style="1942" customWidth="1"/>
    <col min="3" max="3" width="11.375" style="1942" customWidth="1"/>
    <col min="4" max="4" width="31.75" style="1942" customWidth="1"/>
    <col min="5" max="5" width="0.5" style="1942" customWidth="1"/>
    <col min="6" max="7" width="13" style="1942" customWidth="1"/>
    <col min="8" max="16384" width="9" style="1942"/>
  </cols>
  <sheetData>
    <row r="1" spans="1:5" ht="18.75">
      <c r="A1" s="1940" t="s">
        <v>1615</v>
      </c>
      <c r="B1" s="1941"/>
      <c r="C1" s="1941"/>
      <c r="D1" s="1941"/>
      <c r="E1" s="1941"/>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43"/>
      <c r="B4" s="3011" t="s">
        <v>1624</v>
      </c>
      <c r="C4" s="3011"/>
      <c r="D4" s="3011"/>
      <c r="E4" s="1943"/>
    </row>
    <row r="5" spans="1:5" ht="16.5" thickTop="1">
      <c r="A5" s="1941"/>
      <c r="B5" s="3009" t="s">
        <v>1616</v>
      </c>
      <c r="C5" s="1944" t="s">
        <v>1617</v>
      </c>
      <c r="D5" s="1023">
        <f ca="1">结果表!H101</f>
        <v>435</v>
      </c>
      <c r="E5" s="1941"/>
    </row>
    <row r="6" spans="1:5" ht="15.75">
      <c r="A6" s="1941"/>
      <c r="B6" s="3009"/>
      <c r="C6" s="1944" t="s">
        <v>1618</v>
      </c>
      <c r="D6" s="1023" t="str">
        <f ca="1">NUMBERSTRING(INT(D5*10000),2)&amp;"元整"</f>
        <v>肆佰叁拾伍万元整</v>
      </c>
      <c r="E6" s="1941"/>
    </row>
    <row r="7" spans="1:5" ht="15.75">
      <c r="A7" s="1941"/>
      <c r="B7" s="3014"/>
      <c r="C7" s="1945" t="s">
        <v>1619</v>
      </c>
      <c r="D7" s="1024">
        <f ca="1">结果表!H102</f>
        <v>3434</v>
      </c>
      <c r="E7" s="1941"/>
    </row>
    <row r="8" spans="1:5" ht="15.75">
      <c r="A8" s="1941"/>
      <c r="B8" s="3015" t="str">
        <f>结果表!E103</f>
        <v>2.估价师知悉的法定优先受偿款</v>
      </c>
      <c r="C8" s="1946" t="s">
        <v>1620</v>
      </c>
      <c r="D8" s="1024">
        <f>结果表!H103</f>
        <v>0</v>
      </c>
      <c r="E8" s="1941"/>
    </row>
    <row r="9" spans="1:5" ht="15.75">
      <c r="A9" s="1941"/>
      <c r="B9" s="3017"/>
      <c r="C9" s="1944" t="s">
        <v>1618</v>
      </c>
      <c r="D9" s="1023" t="str">
        <f>NUMBERSTRING(INT(D8*10000),2)&amp;"元整"</f>
        <v>元整</v>
      </c>
      <c r="E9" s="1941"/>
    </row>
    <row r="10" spans="1:5" ht="15">
      <c r="A10" s="1941"/>
      <c r="B10" s="1947" t="s">
        <v>1623</v>
      </c>
      <c r="C10" s="1948" t="s">
        <v>1621</v>
      </c>
      <c r="D10" s="1025">
        <f>结果表!H104</f>
        <v>0</v>
      </c>
      <c r="E10" s="1941"/>
    </row>
    <row r="11" spans="1:5" ht="15">
      <c r="A11" s="1941"/>
      <c r="B11" s="1947" t="s">
        <v>1625</v>
      </c>
      <c r="C11" s="1948" t="s">
        <v>1626</v>
      </c>
      <c r="D11" s="1025">
        <f>结果表!H105</f>
        <v>0</v>
      </c>
      <c r="E11" s="1941"/>
    </row>
    <row r="12" spans="1:5" ht="15">
      <c r="A12" s="1941"/>
      <c r="B12" s="1947" t="s">
        <v>1627</v>
      </c>
      <c r="C12" s="1948" t="s">
        <v>1626</v>
      </c>
      <c r="D12" s="1025">
        <f>结果表!H106</f>
        <v>0</v>
      </c>
      <c r="E12" s="1941"/>
    </row>
    <row r="13" spans="1:5" ht="15.75">
      <c r="A13" s="1941"/>
      <c r="B13" s="3008" t="str">
        <f>结果表!E107</f>
        <v>3.房地产抵押价值</v>
      </c>
      <c r="C13" s="1949" t="s">
        <v>1617</v>
      </c>
      <c r="D13" s="1026">
        <f ca="1">结果表!H107</f>
        <v>435</v>
      </c>
      <c r="E13" s="1941"/>
    </row>
    <row r="14" spans="1:5" ht="15.75">
      <c r="A14" s="1941"/>
      <c r="B14" s="3009"/>
      <c r="C14" s="1944" t="s">
        <v>1618</v>
      </c>
      <c r="D14" s="1023" t="str">
        <f ca="1">NUMBERSTRING(INT(D13*10000),2)&amp;"元整"</f>
        <v>肆佰叁拾伍万元整</v>
      </c>
      <c r="E14" s="1941"/>
    </row>
    <row r="15" spans="1:5" ht="15">
      <c r="A15" s="1941"/>
      <c r="B15" s="3014"/>
      <c r="C15" s="1945" t="s">
        <v>1628</v>
      </c>
      <c r="D15" s="1035">
        <f ca="1">结果表!H108</f>
        <v>3434</v>
      </c>
      <c r="E15" s="1941"/>
    </row>
    <row r="16" spans="1:5" ht="15">
      <c r="A16" s="1941"/>
      <c r="B16" s="3015" t="str">
        <f>结果表!E109</f>
        <v>——</v>
      </c>
      <c r="C16" s="1949" t="s">
        <v>1629</v>
      </c>
      <c r="D16" s="1950" t="str">
        <f>结果表!H109</f>
        <v>——</v>
      </c>
      <c r="E16" s="1941"/>
    </row>
    <row r="17" spans="1:5" ht="15.75">
      <c r="A17" s="1941"/>
      <c r="B17" s="3016"/>
      <c r="C17" s="1944" t="s">
        <v>1630</v>
      </c>
      <c r="D17" s="1023" t="e">
        <f>NUMBERSTRING(INT(D16*10000),2)&amp;"元整"</f>
        <v>#VALUE!</v>
      </c>
      <c r="E17" s="1941"/>
    </row>
    <row r="18" spans="1:5" ht="15">
      <c r="A18" s="1941"/>
      <c r="B18" s="3017"/>
      <c r="C18" s="1945" t="s">
        <v>1619</v>
      </c>
      <c r="D18" s="1035" t="str">
        <f>结果表!H110</f>
        <v>——</v>
      </c>
      <c r="E18" s="1941"/>
    </row>
    <row r="19" spans="1:5" ht="15.75">
      <c r="A19" s="1941"/>
      <c r="B19" s="3008" t="str">
        <f>结果表!E111</f>
        <v>——</v>
      </c>
      <c r="C19" s="1949" t="s">
        <v>1617</v>
      </c>
      <c r="D19" s="1024" t="str">
        <f>结果表!H111</f>
        <v>——</v>
      </c>
      <c r="E19" s="1941"/>
    </row>
    <row r="20" spans="1:5" ht="15.75">
      <c r="A20" s="1941"/>
      <c r="B20" s="3009"/>
      <c r="C20" s="1944" t="s">
        <v>1630</v>
      </c>
      <c r="D20" s="1023" t="e">
        <f>NUMBERSTRING(INT(D19*10000),2)&amp;"元整"</f>
        <v>#VALUE!</v>
      </c>
      <c r="E20" s="1941"/>
    </row>
    <row r="21" spans="1:5" ht="15.75" thickBot="1">
      <c r="A21" s="1941"/>
      <c r="B21" s="3010"/>
      <c r="C21" s="1951" t="s">
        <v>1628</v>
      </c>
      <c r="D21" s="1036" t="str">
        <f>结果表!H112</f>
        <v>——</v>
      </c>
      <c r="E21" s="1941"/>
    </row>
    <row r="22" spans="1:5" ht="15" thickTop="1">
      <c r="A22" s="1941"/>
      <c r="B22" s="1952" t="s">
        <v>1631</v>
      </c>
      <c r="C22" s="1941"/>
      <c r="D22" s="1941"/>
      <c r="E22" s="1941"/>
    </row>
    <row r="23" spans="1:5">
      <c r="A23" s="1941"/>
      <c r="B23" s="1941"/>
      <c r="C23" s="1941"/>
      <c r="D23" s="1941"/>
      <c r="E23" s="1941"/>
    </row>
    <row r="24" spans="1:5" ht="18.75">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40">
    <tabColor rgb="FF92D050"/>
  </sheetPr>
  <dimension ref="A1:AH112"/>
  <sheetViews>
    <sheetView zoomScale="80" zoomScaleNormal="80" workbookViewId="0">
      <selection activeCell="L7" sqref="L7"/>
    </sheetView>
  </sheetViews>
  <sheetFormatPr defaultColWidth="9" defaultRowHeight="12.75"/>
  <cols>
    <col min="1" max="1" width="9" style="1454"/>
    <col min="2" max="6" width="9" style="1454" customWidth="1"/>
    <col min="7" max="7" width="9" style="1469"/>
    <col min="8" max="8" width="9" style="1454"/>
    <col min="9" max="12" width="9" style="1454" customWidth="1"/>
    <col min="13" max="13" width="2.25" style="1454" customWidth="1"/>
    <col min="14" max="14" width="9" style="1469" customWidth="1"/>
    <col min="15" max="17" width="9" style="1454" customWidth="1"/>
    <col min="18" max="18" width="2.375" style="1454" customWidth="1"/>
    <col min="19" max="19" width="7.125" style="1469" customWidth="1"/>
    <col min="20" max="22" width="7.125" style="1454" customWidth="1"/>
    <col min="23" max="23" width="24.25" style="1454" customWidth="1"/>
    <col min="24" max="25" width="9" style="1454"/>
    <col min="26" max="27" width="11.625" style="1454" customWidth="1"/>
    <col min="28" max="28" width="9" style="1454"/>
    <col min="29" max="29" width="2" style="1454" customWidth="1"/>
    <col min="30" max="16384" width="9" style="1454"/>
  </cols>
  <sheetData>
    <row r="1" spans="1:34" s="1428" customFormat="1">
      <c r="B1" s="3326" t="s">
        <v>1145</v>
      </c>
      <c r="C1" s="3326"/>
      <c r="D1" s="3326"/>
      <c r="E1" s="3326"/>
      <c r="F1" s="3326"/>
      <c r="G1" s="3322" t="s">
        <v>1146</v>
      </c>
      <c r="H1" s="3322"/>
      <c r="I1" s="3322"/>
      <c r="J1" s="3322"/>
      <c r="K1" s="3322"/>
      <c r="L1" s="3322"/>
      <c r="N1" s="3322" t="s">
        <v>1147</v>
      </c>
      <c r="O1" s="3322"/>
      <c r="P1" s="3322"/>
      <c r="Q1" s="3322"/>
      <c r="R1" s="1429"/>
      <c r="S1" s="3322" t="s">
        <v>1148</v>
      </c>
      <c r="T1" s="3322"/>
      <c r="U1" s="3322"/>
      <c r="V1" s="3322"/>
      <c r="X1" s="3321" t="s">
        <v>1149</v>
      </c>
      <c r="Y1" s="3322"/>
      <c r="Z1" s="3322"/>
      <c r="AA1" s="3322"/>
      <c r="AB1" s="3322"/>
      <c r="AD1" s="3321" t="s">
        <v>1150</v>
      </c>
      <c r="AE1" s="3322"/>
      <c r="AF1" s="3322"/>
      <c r="AG1" s="3322"/>
      <c r="AH1" s="3322"/>
    </row>
    <row r="2" spans="1:34" s="1430" customFormat="1" ht="14.2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1" customFormat="1" ht="14.25">
      <c r="A3" s="2910" t="s">
        <v>3022</v>
      </c>
      <c r="B3" s="2902"/>
      <c r="C3" s="2902"/>
      <c r="D3" s="2903"/>
      <c r="E3" s="2903"/>
      <c r="F3" s="2902"/>
      <c r="G3" s="2904"/>
      <c r="H3" s="2905"/>
      <c r="I3" s="2906">
        <f>ROUND(AVERAGE($I4:$I29),2)</f>
        <v>1.92</v>
      </c>
      <c r="J3" s="2906">
        <f>ROUND(AVERAGE($J4:$J29),2)</f>
        <v>1.34</v>
      </c>
      <c r="K3" s="2906">
        <f>ROUND(AVERAGE($K4:$K29),2)</f>
        <v>2.1</v>
      </c>
      <c r="L3" s="2906">
        <f>ROUND(AVERAGE($L4:$L29),2)</f>
        <v>1.35</v>
      </c>
      <c r="N3" s="2904"/>
      <c r="O3" s="2907"/>
      <c r="P3" s="2907"/>
      <c r="Q3" s="2907"/>
      <c r="R3" s="2907"/>
      <c r="S3" s="2904"/>
      <c r="T3" s="2907"/>
      <c r="U3" s="2907"/>
      <c r="V3" s="2907"/>
      <c r="W3" s="2899"/>
      <c r="X3" s="2908">
        <f>ROUND(SUMPRODUCT(PRODUCT(1+N3:N$28)),4)</f>
        <v>1.5586</v>
      </c>
      <c r="Y3" s="2908">
        <f>ROUND(SUMPRODUCT(PRODUCT(1+O3:O$28)),4)</f>
        <v>1.3633</v>
      </c>
      <c r="Z3" s="2908">
        <f t="shared" ref="Z3:Z26" si="0">Y3</f>
        <v>1.3633</v>
      </c>
      <c r="AA3" s="2908">
        <f>ROUND(SUMPRODUCT(PRODUCT(1+P3:P$28)),4)</f>
        <v>1.6221000000000001</v>
      </c>
      <c r="AB3" s="2908">
        <f>ROUND(SUMPRODUCT(PRODUCT(1+Q3:Q$28)),4)</f>
        <v>1.3777999999999999</v>
      </c>
      <c r="AD3" s="2909">
        <f>ROUND(AVERAGE(I3:I$29)/100,4)</f>
        <v>1.9199999999999998E-2</v>
      </c>
      <c r="AE3" s="2909">
        <f>ROUND(AVERAGE(J3:J$29)/100,4)</f>
        <v>1.34E-2</v>
      </c>
      <c r="AF3" s="2909">
        <f t="shared" ref="AF3:AF27" si="1">AE3</f>
        <v>1.34E-2</v>
      </c>
      <c r="AG3" s="2909">
        <f>ROUND(AVERAGE(K3:K$29)/100,4)</f>
        <v>2.1000000000000001E-2</v>
      </c>
      <c r="AH3" s="2909">
        <f>ROUND(AVERAGE(L3:L$29)/100,4)</f>
        <v>1.35E-2</v>
      </c>
    </row>
    <row r="4" spans="1:34" s="1436" customFormat="1" ht="14.25">
      <c r="B4" s="1437"/>
      <c r="C4" s="1437"/>
      <c r="D4" s="1438"/>
      <c r="E4" s="1438"/>
      <c r="F4" s="1437"/>
      <c r="G4" s="1439"/>
      <c r="H4" s="1440"/>
      <c r="I4" s="2896"/>
      <c r="J4" s="2896"/>
      <c r="K4" s="2896"/>
      <c r="L4" s="2896"/>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3041</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5">
        <v>2020</v>
      </c>
      <c r="H5" s="1713">
        <v>1</v>
      </c>
      <c r="I5" s="2897">
        <v>0</v>
      </c>
      <c r="J5" s="2897">
        <v>0</v>
      </c>
      <c r="K5" s="2897">
        <v>0</v>
      </c>
      <c r="L5" s="2897">
        <v>0</v>
      </c>
      <c r="N5" s="1450">
        <f t="shared" ref="N5" si="7">I5/100</f>
        <v>0</v>
      </c>
      <c r="O5" s="1450">
        <f t="shared" ref="O5" si="8">J5/100</f>
        <v>0</v>
      </c>
      <c r="P5" s="1450">
        <f t="shared" ref="P5" si="9">K5/100</f>
        <v>0</v>
      </c>
      <c r="Q5" s="1450">
        <f t="shared" ref="Q5" si="10">L5/100</f>
        <v>0</v>
      </c>
      <c r="R5" s="1715"/>
      <c r="S5" s="1716"/>
      <c r="T5" s="1715"/>
      <c r="U5" s="1715"/>
      <c r="V5" s="1715"/>
      <c r="W5" s="2900" t="s">
        <v>3023</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3040</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5">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5" thickBot="1">
      <c r="A7" s="1444" t="s">
        <v>3036</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4">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3034</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0">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5" thickBot="1">
      <c r="A9" s="1444" t="s">
        <v>3032</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4">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3035</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24">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5" customHeight="1">
      <c r="A11" s="1444" t="s">
        <v>3029</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324"/>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5" customHeight="1">
      <c r="A12" s="1444" t="s">
        <v>3028</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324"/>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3021</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31"/>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3018</v>
      </c>
      <c r="B14" s="1452">
        <v>439</v>
      </c>
      <c r="C14" s="1452">
        <v>327</v>
      </c>
      <c r="D14" s="1452">
        <f>C14</f>
        <v>327</v>
      </c>
      <c r="E14" s="1452">
        <v>627</v>
      </c>
      <c r="F14" s="1453">
        <v>283</v>
      </c>
      <c r="G14" s="3327">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5" customHeight="1">
      <c r="A15" s="1444" t="s">
        <v>3019</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324"/>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5"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324"/>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31"/>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27">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324"/>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324"/>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5"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325"/>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5" thickBot="1">
      <c r="A22" s="1444" t="s">
        <v>151</v>
      </c>
      <c r="B22" s="1452">
        <v>333</v>
      </c>
      <c r="C22" s="1452">
        <v>277</v>
      </c>
      <c r="D22" s="1452">
        <f t="shared" si="119"/>
        <v>277</v>
      </c>
      <c r="E22" s="1452">
        <v>459</v>
      </c>
      <c r="F22" s="1453">
        <v>249</v>
      </c>
      <c r="G22" s="3323">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324"/>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324"/>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325"/>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5" thickBot="1">
      <c r="A26" s="1444" t="s">
        <v>147</v>
      </c>
      <c r="B26" s="1473">
        <v>318</v>
      </c>
      <c r="C26" s="1473">
        <v>268</v>
      </c>
      <c r="D26" s="1473">
        <f t="shared" si="119"/>
        <v>268</v>
      </c>
      <c r="E26" s="1473">
        <v>437</v>
      </c>
      <c r="F26" s="1474">
        <v>237</v>
      </c>
      <c r="G26" s="3323">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324"/>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5"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324"/>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5"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325"/>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5" thickBot="1">
      <c r="A30" s="1444" t="s">
        <v>1158</v>
      </c>
      <c r="B30" s="1452">
        <v>299</v>
      </c>
      <c r="C30" s="1452">
        <v>252</v>
      </c>
      <c r="D30" s="1452">
        <f t="shared" si="119"/>
        <v>252</v>
      </c>
      <c r="E30" s="1452">
        <v>409</v>
      </c>
      <c r="F30" s="1453">
        <v>227</v>
      </c>
      <c r="G30" s="3328">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29"/>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29"/>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30"/>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5" thickBot="1">
      <c r="A34" s="1444" t="s">
        <v>1162</v>
      </c>
      <c r="B34" s="1494">
        <v>278</v>
      </c>
      <c r="C34" s="1494">
        <v>234</v>
      </c>
      <c r="D34" s="1494">
        <f t="shared" si="119"/>
        <v>234</v>
      </c>
      <c r="E34" s="1494">
        <v>379</v>
      </c>
      <c r="F34" s="1495">
        <v>220</v>
      </c>
      <c r="G34" s="3323">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324"/>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324"/>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5" thickBot="1">
      <c r="A37" s="1444" t="s">
        <v>1165</v>
      </c>
      <c r="B37" s="1460">
        <f>B36/(1+N36)</f>
        <v>275.19025476197027</v>
      </c>
      <c r="C37" s="1496">
        <v>232</v>
      </c>
      <c r="D37" s="1496">
        <f t="shared" si="119"/>
        <v>232</v>
      </c>
      <c r="E37" s="1460">
        <f t="shared" si="130"/>
        <v>375.65990977608692</v>
      </c>
      <c r="F37" s="1460">
        <f t="shared" si="130"/>
        <v>214.12518283971252</v>
      </c>
      <c r="G37" s="3325"/>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5" thickBot="1">
      <c r="A38" s="1444" t="s">
        <v>1166</v>
      </c>
      <c r="B38" s="1452">
        <v>275</v>
      </c>
      <c r="C38" s="1452">
        <v>232</v>
      </c>
      <c r="D38" s="1452">
        <f t="shared" si="119"/>
        <v>232</v>
      </c>
      <c r="E38" s="1452">
        <v>376</v>
      </c>
      <c r="F38" s="1453">
        <v>213</v>
      </c>
      <c r="G38" s="3323">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324">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324">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5"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325">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5" thickBot="1">
      <c r="A42" s="1444" t="s">
        <v>1170</v>
      </c>
      <c r="B42" s="1452">
        <v>269</v>
      </c>
      <c r="C42" s="1452">
        <v>221</v>
      </c>
      <c r="D42" s="1452">
        <f t="shared" si="119"/>
        <v>221</v>
      </c>
      <c r="E42" s="1452">
        <v>373</v>
      </c>
      <c r="F42" s="1453">
        <v>196</v>
      </c>
      <c r="G42" s="3323">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324">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324">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5"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325">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5" thickBot="1">
      <c r="A46" s="1444" t="s">
        <v>1174</v>
      </c>
      <c r="B46" s="1452">
        <v>220</v>
      </c>
      <c r="C46" s="1452">
        <v>187</v>
      </c>
      <c r="D46" s="1452">
        <f t="shared" si="119"/>
        <v>187</v>
      </c>
      <c r="E46" s="1452">
        <v>301</v>
      </c>
      <c r="F46" s="1453">
        <v>168</v>
      </c>
      <c r="G46" s="3323">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324">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324">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325">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5" thickBot="1">
      <c r="A50" s="1444" t="s">
        <v>1178</v>
      </c>
      <c r="B50" s="1494">
        <v>214</v>
      </c>
      <c r="C50" s="1494">
        <v>188</v>
      </c>
      <c r="D50" s="1494">
        <f t="shared" si="119"/>
        <v>188</v>
      </c>
      <c r="E50" s="1494">
        <v>289</v>
      </c>
      <c r="F50" s="1495">
        <v>166</v>
      </c>
      <c r="G50" s="3323">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324">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324">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5"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325">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5" thickBot="1">
      <c r="A54" s="1444" t="s">
        <v>1182</v>
      </c>
      <c r="B54" s="1452">
        <v>188</v>
      </c>
      <c r="C54" s="1452">
        <v>165</v>
      </c>
      <c r="D54" s="1452">
        <f t="shared" si="119"/>
        <v>165</v>
      </c>
      <c r="E54" s="1452">
        <v>254</v>
      </c>
      <c r="F54" s="1453">
        <v>148</v>
      </c>
      <c r="G54" s="3323">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324">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324">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325">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5" thickBot="1">
      <c r="A58" s="1444" t="s">
        <v>1186</v>
      </c>
      <c r="B58" s="1473">
        <v>159</v>
      </c>
      <c r="C58" s="1473">
        <v>141</v>
      </c>
      <c r="D58" s="1473">
        <f t="shared" si="119"/>
        <v>141</v>
      </c>
      <c r="E58" s="1473">
        <v>195</v>
      </c>
      <c r="F58" s="1474">
        <v>122</v>
      </c>
      <c r="G58" s="3323">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324">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324">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325">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5" thickBot="1">
      <c r="A62" s="1444" t="s">
        <v>1190</v>
      </c>
      <c r="B62" s="1473">
        <v>138</v>
      </c>
      <c r="C62" s="1473">
        <v>131</v>
      </c>
      <c r="D62" s="1473">
        <f t="shared" si="119"/>
        <v>131</v>
      </c>
      <c r="E62" s="1473">
        <v>155</v>
      </c>
      <c r="F62" s="1474">
        <v>114</v>
      </c>
      <c r="G62" s="3323">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324">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324">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325">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5" thickBot="1">
      <c r="A66" s="1444" t="s">
        <v>1194</v>
      </c>
      <c r="B66" s="1494">
        <v>121</v>
      </c>
      <c r="C66" s="1494">
        <v>122</v>
      </c>
      <c r="D66" s="1494">
        <f t="shared" si="119"/>
        <v>122</v>
      </c>
      <c r="E66" s="1494">
        <v>124</v>
      </c>
      <c r="F66" s="1495">
        <v>107</v>
      </c>
      <c r="G66" s="3323">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324">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324">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5"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325">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5" thickBot="1">
      <c r="A70" s="1444" t="s">
        <v>1198</v>
      </c>
      <c r="B70" s="1515">
        <v>111</v>
      </c>
      <c r="C70" s="1515">
        <v>114</v>
      </c>
      <c r="D70" s="1515">
        <f t="shared" si="119"/>
        <v>114</v>
      </c>
      <c r="E70" s="1515">
        <v>108</v>
      </c>
      <c r="F70" s="1516">
        <v>104</v>
      </c>
      <c r="G70" s="3323">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324">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324">
        <v>2003</v>
      </c>
      <c r="H72" s="1448">
        <v>2</v>
      </c>
      <c r="I72" s="1517"/>
      <c r="J72" s="1517"/>
      <c r="K72" s="1517"/>
      <c r="L72" s="1517"/>
      <c r="X72" s="1509"/>
      <c r="Y72" s="1509"/>
      <c r="Z72" s="1509"/>
    </row>
    <row r="73" spans="1:26" ht="13.5" thickBot="1">
      <c r="A73" s="1444" t="s">
        <v>1201</v>
      </c>
      <c r="B73" s="1519">
        <f t="shared" si="155"/>
        <v>107.25</v>
      </c>
      <c r="C73" s="1519">
        <f t="shared" si="155"/>
        <v>108.75</v>
      </c>
      <c r="D73" s="1519">
        <f t="shared" si="119"/>
        <v>108.75</v>
      </c>
      <c r="E73" s="1519">
        <f t="shared" si="156"/>
        <v>105.75</v>
      </c>
      <c r="F73" s="1519">
        <f t="shared" si="156"/>
        <v>102.5</v>
      </c>
      <c r="G73" s="3325">
        <v>2003</v>
      </c>
      <c r="H73" s="1520">
        <v>1</v>
      </c>
      <c r="I73" s="1517"/>
      <c r="J73" s="1517"/>
      <c r="K73" s="1517"/>
      <c r="L73" s="1517"/>
      <c r="S73" s="1455"/>
      <c r="T73" s="1456"/>
      <c r="U73" s="1456"/>
      <c r="X73" s="1509"/>
      <c r="Y73" s="1509"/>
      <c r="Z73" s="1509"/>
    </row>
    <row r="74" spans="1:26" ht="13.5" thickBot="1">
      <c r="A74" s="1444" t="s">
        <v>1202</v>
      </c>
      <c r="B74" s="1521">
        <v>106</v>
      </c>
      <c r="C74" s="1521">
        <v>107</v>
      </c>
      <c r="D74" s="1521">
        <f t="shared" si="119"/>
        <v>107</v>
      </c>
      <c r="E74" s="1521">
        <v>105</v>
      </c>
      <c r="F74" s="1522">
        <v>102</v>
      </c>
      <c r="G74" s="3323">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324">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324">
        <v>2002</v>
      </c>
      <c r="H76" s="1448">
        <v>2</v>
      </c>
      <c r="I76" s="1517"/>
      <c r="J76" s="1517"/>
      <c r="K76" s="1517"/>
      <c r="L76" s="1517"/>
      <c r="X76" s="1509"/>
      <c r="Y76" s="1509"/>
      <c r="Z76" s="1509"/>
    </row>
    <row r="77" spans="1:26" s="1481" customFormat="1" ht="13.5" thickBot="1">
      <c r="A77" s="1477" t="s">
        <v>1205</v>
      </c>
      <c r="B77" s="1523">
        <f t="shared" si="157"/>
        <v>103</v>
      </c>
      <c r="C77" s="1523">
        <f t="shared" si="157"/>
        <v>104</v>
      </c>
      <c r="D77" s="1523">
        <f t="shared" si="119"/>
        <v>104</v>
      </c>
      <c r="E77" s="1523">
        <f t="shared" si="158"/>
        <v>103.5</v>
      </c>
      <c r="F77" s="1523">
        <f t="shared" si="158"/>
        <v>100.5</v>
      </c>
      <c r="G77" s="3325">
        <v>2002</v>
      </c>
      <c r="H77" s="1524">
        <v>1</v>
      </c>
      <c r="I77" s="1525"/>
      <c r="J77" s="1525"/>
      <c r="K77" s="1525"/>
      <c r="L77" s="1525"/>
      <c r="N77" s="1526"/>
      <c r="S77" s="1526"/>
      <c r="X77" s="1527"/>
      <c r="Y77" s="1527"/>
      <c r="Z77" s="1527"/>
    </row>
    <row r="78" spans="1:26" ht="13.5"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5"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5"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2995</v>
      </c>
    </row>
    <row r="2" spans="1:45" s="696" customFormat="1" ht="38.25">
      <c r="A2" s="1188"/>
      <c r="B2" s="692" t="s">
        <v>2996</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5"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5"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5"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5"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5"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5"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5"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5"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5" thickBot="1">
      <c r="A20" s="702" t="s">
        <v>3004</v>
      </c>
      <c r="B20" s="329">
        <f ca="1">IF(D20="——",S22,S22-F20)</f>
        <v>2072</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75">
      <c r="A21" s="702" t="s">
        <v>3006</v>
      </c>
      <c r="B21" s="329">
        <f ca="1">R22</f>
        <v>34815</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595.14</v>
      </c>
      <c r="C22" s="3138" t="s">
        <v>33</v>
      </c>
      <c r="D22" s="3139"/>
      <c r="E22" s="3139"/>
      <c r="F22" s="3139"/>
      <c r="G22" s="3139"/>
      <c r="H22" s="3139"/>
      <c r="I22" s="3139"/>
      <c r="J22" s="3139"/>
      <c r="K22" s="3139"/>
      <c r="L22" s="3139"/>
      <c r="M22" s="3139"/>
      <c r="N22" s="3139"/>
      <c r="O22" s="3139"/>
      <c r="P22" s="3139"/>
      <c r="Q22" s="3332"/>
      <c r="R22" s="703">
        <f ca="1">ROUND(S22*10000/B22,0)</f>
        <v>34815</v>
      </c>
      <c r="S22" s="24">
        <f ca="1">SUM(S24:S10000)</f>
        <v>2072</v>
      </c>
    </row>
    <row r="23" spans="1:45" s="12" customFormat="1" ht="25.5">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101</v>
      </c>
      <c r="B24" s="2958">
        <v>125.74</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54" ca="1" si="11">ROUND(R24*B24/10000,0)</f>
        <v>434</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7">
        <v>102</v>
      </c>
      <c r="B25" s="2958">
        <v>138.44999999999999</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11"/>
        <v>478</v>
      </c>
    </row>
    <row r="26" spans="1:45">
      <c r="A26" s="2957">
        <v>103</v>
      </c>
      <c r="B26" s="2958">
        <v>137.61000000000001</v>
      </c>
      <c r="C26" s="24">
        <f t="shared" ref="C26:C89" si="12">IF(B26="",1,(LOOKUP(B26,$3:$3,$4:$4)-LOOKUP($B$24,$3:$3,$4:$4)+100)/100)</f>
        <v>1</v>
      </c>
      <c r="D26" s="706" t="s">
        <v>3065</v>
      </c>
      <c r="E26" s="24">
        <f t="shared" ref="E26:E89" si="13">(SUMIF($5:$5,D26,$6:$6)-SUMIF($5:$5,$D$24,$6:$6)+100)/100</f>
        <v>1</v>
      </c>
      <c r="F26" s="706" t="s">
        <v>3046</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34519</v>
      </c>
      <c r="S26" s="352">
        <f t="shared" ca="1" si="11"/>
        <v>475</v>
      </c>
    </row>
    <row r="27" spans="1:45">
      <c r="A27" s="2957">
        <v>104</v>
      </c>
      <c r="B27" s="2958">
        <v>121.22</v>
      </c>
      <c r="C27" s="24">
        <f t="shared" si="12"/>
        <v>1</v>
      </c>
      <c r="D27" s="706" t="s">
        <v>3065</v>
      </c>
      <c r="E27" s="24">
        <f t="shared" si="13"/>
        <v>1</v>
      </c>
      <c r="F27" s="706" t="s">
        <v>3046</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34519</v>
      </c>
      <c r="S27" s="352">
        <f t="shared" ca="1" si="11"/>
        <v>418</v>
      </c>
    </row>
    <row r="28" spans="1:45">
      <c r="A28" s="2957">
        <v>105</v>
      </c>
      <c r="B28" s="2958">
        <v>72.12</v>
      </c>
      <c r="C28" s="24">
        <f t="shared" si="12"/>
        <v>1.02</v>
      </c>
      <c r="D28" s="706" t="s">
        <v>3065</v>
      </c>
      <c r="E28" s="24">
        <f t="shared" si="13"/>
        <v>1</v>
      </c>
      <c r="F28" s="706" t="s">
        <v>3082</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36970</v>
      </c>
      <c r="S28" s="352">
        <f t="shared" ca="1" si="11"/>
        <v>267</v>
      </c>
    </row>
    <row r="29" spans="1:45" ht="14.25">
      <c r="A29" s="2949"/>
      <c r="B29" s="2950"/>
      <c r="C29" s="24">
        <f t="shared" si="12"/>
        <v>1</v>
      </c>
      <c r="D29" s="706"/>
      <c r="E29" s="24">
        <f t="shared" si="13"/>
        <v>0.2</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4.25">
      <c r="A30" s="2949"/>
      <c r="B30" s="2950"/>
      <c r="C30" s="24">
        <f t="shared" si="12"/>
        <v>1</v>
      </c>
      <c r="D30" s="706"/>
      <c r="E30" s="24">
        <f t="shared" si="13"/>
        <v>0.2</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4.25">
      <c r="A31" s="2949"/>
      <c r="B31" s="2950"/>
      <c r="C31" s="24">
        <f t="shared" si="12"/>
        <v>1</v>
      </c>
      <c r="D31" s="706"/>
      <c r="E31" s="24">
        <f t="shared" si="13"/>
        <v>0.2</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4.25">
      <c r="A32" s="2949"/>
      <c r="B32" s="2950"/>
      <c r="C32" s="24">
        <f t="shared" si="12"/>
        <v>1</v>
      </c>
      <c r="D32" s="706"/>
      <c r="E32" s="24">
        <f t="shared" si="13"/>
        <v>0.2</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4.25">
      <c r="A33" s="2949"/>
      <c r="B33" s="2950"/>
      <c r="C33" s="24">
        <f t="shared" si="12"/>
        <v>1</v>
      </c>
      <c r="D33" s="706"/>
      <c r="E33" s="24">
        <f t="shared" si="13"/>
        <v>0.2</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4.25">
      <c r="A34" s="2949"/>
      <c r="B34" s="2950"/>
      <c r="C34" s="24">
        <f t="shared" si="12"/>
        <v>1</v>
      </c>
      <c r="D34" s="706"/>
      <c r="E34" s="24">
        <f t="shared" si="13"/>
        <v>0.2</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4.25">
      <c r="A35" s="2949"/>
      <c r="B35" s="2950"/>
      <c r="C35" s="24">
        <f t="shared" si="12"/>
        <v>1</v>
      </c>
      <c r="D35" s="706"/>
      <c r="E35" s="24">
        <f t="shared" si="13"/>
        <v>0.2</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0.2</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0.2</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0.2</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0.2</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0.2</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0.2</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0.2</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0.2</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0.2</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0.2</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0.2</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0.2</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0.2</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0.2</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0.2</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0.2</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0.2</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0.2</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0.2</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0.2</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0.2</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0.2</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0.2</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0.2</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0.2</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0.2</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0.2</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0.2</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0.2</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0.2</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0.2</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0.2</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0.2</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0.2</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0.2</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0.2</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0.2</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0.2</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0.2</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0.2</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0.2</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0.2</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0.2</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0.2</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0.2</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0.2</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0.2</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0.2</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0.2</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0.2</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0.2</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0.2</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0.2</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0.2</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0.2</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0.2</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0.2</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0.2</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0.2</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0.2</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0.2</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0.2</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0.2</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0.2</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0.2</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0.2</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0.2</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0.2</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0.2</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0.2</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0.2</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0.2</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0.2</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0.2</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0.2</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0.2</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0.2</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0.2</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0.2</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0.2</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0.2</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0.2</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0.2</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0.2</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0.2</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0.2</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0.2</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0.2</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0.2</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0.2</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0.2</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0.2</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0.2</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0.2</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0.2</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0.2</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0.2</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0.2</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0.2</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0.2</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0.2</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0.2</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0.2</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0.2</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0.2</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0.2</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0.2</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0.2</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0.2</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0.2</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0.2</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0.2</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0.2</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0.2</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0.2</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0.2</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0.2</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0.2</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0.2</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0.2</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0.2</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0.2</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0.2</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0.2</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0.2</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0.2</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0.2</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0.2</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0.2</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0.2</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0.2</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0.2</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0.2</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0.2</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0.2</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0.2</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0.2</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0.2</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0.2</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0.2</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0.2</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0.2</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0.2</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0.2</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0.2</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0.2</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0.2</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0.2</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0.2</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0.2</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0.2</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0.2</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0.2</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0.2</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0.2</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0.2</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0.2</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0.2</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0.2</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0.2</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0.2</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0.2</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0.2</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0.2</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0.2</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0.2</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0.2</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0.2</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0.2</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0.2</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0.2</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0.2</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0.2</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0.2</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0.2</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0.2</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0.2</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0.2</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0.2</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0.2</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0.2</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0.2</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0.2</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0.2</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0.2</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0.2</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0.2</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0.2</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0.2</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0.2</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0.2</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0.2</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0.2</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0.2</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0.2</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0.2</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0.2</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0.2</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0.2</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0.2</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0.2</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0.2</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0.2</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0.2</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0.2</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0.2</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0.2</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0.2</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0.2</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0.2</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0.2</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0.2</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0.2</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0.2</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0.2</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0.2</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0.2</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0.2</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0.2</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0.2</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0.2</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0.2</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0.2</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0.2</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0.2</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0.2</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0.2</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0.2</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0.2</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0.2</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0.2</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0.2</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0.2</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0.2</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0.2</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0.2</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0.2</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0.2</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0.2</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0.2</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0.2</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0.2</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0.2</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0.2</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0.2</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0.2</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0.2</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0.2</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0.2</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0.2</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0.2</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0.2</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0.2</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0.2</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0.2</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0.2</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0.2</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0.2</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0.2</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0.2</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0.2</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0.2</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0.2</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0.2</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0.2</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0.2</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0.2</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0.2</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0.2</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0.2</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0.2</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0.2</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0.2</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0.2</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0.2</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0.2</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0.2</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0.2</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0.2</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0.2</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0.2</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0.2</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0.2</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0.2</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0.2</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0.2</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0.2</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0.2</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0.2</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0.2</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0.2</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0.2</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0.2</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0.2</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0.2</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0.2</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0.2</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0.2</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0.2</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0.2</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0.2</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0.2</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0.2</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0.2</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0.2</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0.2</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0.2</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0.2</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0.2</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0.2</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0.2</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0.2</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0.2</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0.2</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0.2</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0.2</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0.2</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0.2</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0.2</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0.2</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0.2</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0.2</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0.2</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0.2</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0.2</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0.2</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0.2</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0.2</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0.2</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0.2</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0.2</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0.2</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0.2</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0.2</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0.2</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0.2</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0.2</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0.2</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0.2</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0.2</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0.2</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0.2</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0.2</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0.2</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0.2</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0.2</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0.2</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0.2</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0.2</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0.2</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0.2</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0.2</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0.2</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0.2</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0.2</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0.2</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0.2</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0.2</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0.2</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0.2</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0.2</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0.2</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0.2</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0.2</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0.2</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0.2</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0.2</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0.2</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0.2</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0.2</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0.2</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0.2</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0.2</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0.2</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0.2</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0.2</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0.2</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0.2</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0.2</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0.2</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0.2</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0.2</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0.2</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0.2</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0.2</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0.2</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0.2</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0.2</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0.2</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0.2</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0.2</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0.2</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0.2</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0.2</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0.2</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0.2</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0.2</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0.2</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0.2</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0.2</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0.2</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0.2</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0.2</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0.2</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0.2</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0.2</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0.2</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0.2</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0.2</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0.2</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0.2</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0.2</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0.2</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0.2</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0.2</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0.2</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0.2</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0.2</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0.2</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0.2</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0.2</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0.2</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0.2</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0.2</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0.2</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0.2</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0.2</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0.2</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0.2</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0.2</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0.2</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0.2</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0.2</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0.2</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0.2</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0.2</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0.2</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0.2</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0.2</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0.2</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0.2</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0.2</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0.2</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0.2</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0.2</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0.2</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0.2</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0.2</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0.2</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0.2</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0.2</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0.2</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0.2</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0.2</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0.2</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0.2</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0.2</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0.2</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0.2</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0.2</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0.2</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0.2</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0.2</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0.2</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0.2</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0.2</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0.2</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0.2</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0.2</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0.2</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0.2</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0.2</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0.2</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0.2</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0.2</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0.2</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0.2</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0.2</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0.2</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0.2</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0.2</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0.2</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0.2</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0.2</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0.2</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0.2</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0.2</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0.2</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0.2</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7" s="235" customFormat="1" ht="20.25">
      <c r="A1" s="231" t="s">
        <v>83</v>
      </c>
      <c r="B1" s="232"/>
      <c r="C1" s="233"/>
      <c r="D1" s="233"/>
      <c r="E1" s="233"/>
      <c r="F1" s="233"/>
      <c r="G1" s="234"/>
    </row>
    <row r="2" spans="1:7" s="235" customFormat="1" ht="18" customHeight="1">
      <c r="A2" s="236" t="s">
        <v>84</v>
      </c>
      <c r="B2" s="237">
        <f ca="1">C52</f>
        <v>31216</v>
      </c>
      <c r="C2" s="2" t="s">
        <v>133</v>
      </c>
      <c r="D2" s="234"/>
      <c r="E2" s="234"/>
      <c r="F2" s="234"/>
      <c r="G2" s="234"/>
    </row>
    <row r="3" spans="1:7" s="235" customFormat="1" ht="18" customHeight="1" thickBot="1">
      <c r="A3" s="238" t="s">
        <v>85</v>
      </c>
      <c r="B3" s="239">
        <f ca="1">ROUND(B2*10000/'数据-汇总表'!E3,0)</f>
        <v>246445</v>
      </c>
      <c r="C3" s="2" t="s">
        <v>134</v>
      </c>
      <c r="D3" s="234"/>
      <c r="E3" s="234"/>
      <c r="F3" s="234"/>
      <c r="G3" s="234"/>
    </row>
    <row r="4" spans="1:7" s="243" customFormat="1" ht="15.75">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25</v>
      </c>
      <c r="D10" s="1015">
        <f>'数据-汇总表'!E6</f>
        <v>1266.6499999999999</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25</v>
      </c>
      <c r="D19" s="1019">
        <f>'数据-汇总表'!E3</f>
        <v>1266.6499999999999</v>
      </c>
      <c r="E19" s="246">
        <f>'数据-取费表'!B31</f>
        <v>200</v>
      </c>
      <c r="F19" s="266"/>
      <c r="G19" s="1" t="s">
        <v>1070</v>
      </c>
    </row>
    <row r="20" spans="1:7" s="249" customFormat="1" ht="13.5" customHeight="1">
      <c r="A20" s="931" t="s">
        <v>1053</v>
      </c>
      <c r="B20" s="245" t="s">
        <v>104</v>
      </c>
      <c r="C20" s="267">
        <f>ROUND((C5+C19)*F20,0)</f>
        <v>413</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2026</v>
      </c>
      <c r="D22" s="270">
        <f ca="1">C26</f>
        <v>1E-3</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2004</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2</v>
      </c>
      <c r="D24" s="273"/>
      <c r="E24" s="273"/>
      <c r="F24" s="274"/>
      <c r="G24" s="275" t="s">
        <v>109</v>
      </c>
    </row>
    <row r="25" spans="1:7" s="249" customFormat="1" ht="24">
      <c r="A25" s="934" t="s">
        <v>793</v>
      </c>
      <c r="B25" s="250" t="s">
        <v>1054</v>
      </c>
      <c r="C25" s="1338">
        <f ca="1">ROUND(IF('数据-取费表'!B22&lt;=1,C20*F22*'数据-取费表'!B23/2,C20*(POWER((1+F22),'数据-取费表'!B23/2)-1)),0)</f>
        <v>20</v>
      </c>
      <c r="D25" s="273"/>
      <c r="E25" s="276"/>
      <c r="F25" s="274"/>
      <c r="G25" s="277" t="s">
        <v>110</v>
      </c>
    </row>
    <row r="26" spans="1:7" s="249" customFormat="1">
      <c r="A26" s="934" t="s">
        <v>795</v>
      </c>
      <c r="B26" s="250" t="s">
        <v>1056</v>
      </c>
      <c r="C26" s="273">
        <f ca="1">ROUND(IF('数据-取费表'!B22&lt;=1,F21*F22*'数据-取费表'!B23/2,F21*(POWER((1+F22),'数据-取费表'!B23/2)-1)),4)</f>
        <v>1E-3</v>
      </c>
      <c r="D26" s="273"/>
      <c r="E26" s="276"/>
      <c r="F26" s="274"/>
      <c r="G26" s="278"/>
    </row>
    <row r="27" spans="1:7" s="249" customFormat="1" ht="24.75">
      <c r="A27" s="931" t="s">
        <v>787</v>
      </c>
      <c r="B27" s="279" t="s">
        <v>112</v>
      </c>
      <c r="C27" s="280">
        <f>C28</f>
        <v>5262</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5262</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30778</v>
      </c>
      <c r="D31" s="265"/>
      <c r="E31" s="246"/>
      <c r="F31" s="285"/>
      <c r="G31" s="269" t="s">
        <v>1066</v>
      </c>
    </row>
    <row r="32" spans="1:7" s="243" customFormat="1" ht="15.75">
      <c r="A32" s="287" t="s">
        <v>114</v>
      </c>
      <c r="B32" s="288"/>
      <c r="C32" s="288"/>
      <c r="D32" s="288"/>
      <c r="E32" s="288"/>
      <c r="F32" s="288"/>
      <c r="G32" s="289"/>
    </row>
    <row r="33" spans="1:7" s="249" customFormat="1" ht="13.5" customHeight="1">
      <c r="A33" s="290" t="s">
        <v>782</v>
      </c>
      <c r="B33" s="245" t="s">
        <v>115</v>
      </c>
      <c r="C33" s="291">
        <f>SUM(C34:C38)</f>
        <v>395</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354</v>
      </c>
      <c r="D34" s="252"/>
      <c r="E34" s="255"/>
      <c r="F34" s="292">
        <f>IF('数据-取费表'!B24=0,1,'数据-取费表'!N16)</f>
        <v>1</v>
      </c>
      <c r="G34" s="254" t="s">
        <v>116</v>
      </c>
    </row>
    <row r="35" spans="1:7" ht="13.5" customHeight="1">
      <c r="A35" s="934" t="s">
        <v>796</v>
      </c>
      <c r="B35" s="250" t="s">
        <v>60</v>
      </c>
      <c r="C35" s="255">
        <f>ROUND(C34*F35,0)</f>
        <v>11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25</v>
      </c>
      <c r="D37" s="252">
        <f>'数据-汇总表'!E3</f>
        <v>1266.6499999999999</v>
      </c>
      <c r="E37" s="284">
        <f>'数据-取费表'!B35</f>
        <v>200</v>
      </c>
      <c r="F37" s="294"/>
      <c r="G37" s="296" t="s">
        <v>119</v>
      </c>
    </row>
    <row r="38" spans="1:7" ht="13.5" customHeight="1">
      <c r="A38" s="934" t="s">
        <v>799</v>
      </c>
      <c r="B38" s="250" t="s">
        <v>63</v>
      </c>
      <c r="C38" s="255">
        <f>ROUND(C34*F38,0)</f>
        <v>5</v>
      </c>
      <c r="D38" s="255"/>
      <c r="E38" s="255"/>
      <c r="F38" s="294">
        <f>'数据-取费表'!B36</f>
        <v>1.4999999999999999E-2</v>
      </c>
      <c r="G38" s="254" t="s">
        <v>117</v>
      </c>
    </row>
    <row r="39" spans="1:7" s="249" customFormat="1" ht="13.5" customHeight="1">
      <c r="A39" s="931" t="s">
        <v>783</v>
      </c>
      <c r="B39" s="245" t="s">
        <v>104</v>
      </c>
      <c r="C39" s="267">
        <f>ROUND(C33*F20,0)</f>
        <v>8</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14</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14</v>
      </c>
      <c r="D42" s="273"/>
      <c r="E42" s="273"/>
      <c r="F42" s="274"/>
      <c r="G42" s="3193" t="s">
        <v>121</v>
      </c>
    </row>
    <row r="43" spans="1:7" ht="13.5" customHeight="1">
      <c r="A43" s="934" t="s">
        <v>792</v>
      </c>
      <c r="B43" s="250" t="s">
        <v>1060</v>
      </c>
      <c r="C43" s="273">
        <f ca="1">ROUND(IF('数据-取费表'!B22&lt;=1,C39*F22*'数据-取费表'!B21/2,C39*(POWER((1+F22),'数据-取费表'!B21/2)-1)),0)</f>
        <v>0</v>
      </c>
      <c r="D43" s="273"/>
      <c r="E43" s="273"/>
      <c r="F43" s="274"/>
      <c r="G43" s="3194"/>
    </row>
    <row r="44" spans="1:7" ht="13.5" customHeight="1">
      <c r="A44" s="934" t="s">
        <v>793</v>
      </c>
      <c r="B44" s="250" t="s">
        <v>1062</v>
      </c>
      <c r="C44" s="273">
        <f ca="1">ROUND(IF('数据-取费表'!B22&lt;=1,C40*F22*'数据-取费表'!B21/2,C40*(POWER((1+F22),'数据-取费表'!B21/2)-1)),4)</f>
        <v>6.9999999999999999E-4</v>
      </c>
      <c r="D44" s="273"/>
      <c r="E44" s="273"/>
      <c r="F44" s="274"/>
      <c r="G44" s="3195"/>
    </row>
    <row r="45" spans="1:7" s="249" customFormat="1" ht="13.5" customHeight="1">
      <c r="A45" s="931" t="s">
        <v>786</v>
      </c>
      <c r="B45" s="279" t="s">
        <v>112</v>
      </c>
      <c r="C45" s="280">
        <f>C46</f>
        <v>101</v>
      </c>
      <c r="D45" s="270">
        <f>C47</f>
        <v>5.0000000000000001E-3</v>
      </c>
      <c r="E45" s="271" t="s">
        <v>129</v>
      </c>
      <c r="F45" s="281"/>
      <c r="G45" s="282" t="s">
        <v>1068</v>
      </c>
    </row>
    <row r="46" spans="1:7" s="249" customFormat="1" ht="13.5" customHeight="1">
      <c r="A46" s="934" t="s">
        <v>794</v>
      </c>
      <c r="B46" s="283" t="s">
        <v>1061</v>
      </c>
      <c r="C46" s="284">
        <f>ROUND((C33+C39)*F27,0)</f>
        <v>101</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562</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438</v>
      </c>
      <c r="D51" s="267"/>
      <c r="E51" s="267"/>
      <c r="F51" s="299"/>
      <c r="G51" s="269" t="s">
        <v>64</v>
      </c>
    </row>
    <row r="52" spans="1:7" s="243" customFormat="1" ht="16.5" thickBot="1">
      <c r="A52" s="300" t="s">
        <v>65</v>
      </c>
      <c r="B52" s="301"/>
      <c r="C52" s="302">
        <f ca="1">C31+C51</f>
        <v>31216</v>
      </c>
      <c r="D52" s="301"/>
      <c r="E52" s="301"/>
      <c r="F52" s="301"/>
      <c r="G52" s="303"/>
    </row>
    <row r="55" spans="1:7" ht="15">
      <c r="B55" s="305" t="s">
        <v>66</v>
      </c>
      <c r="C55" s="306"/>
    </row>
    <row r="56" spans="1:7">
      <c r="B56" s="308" t="s">
        <v>67</v>
      </c>
      <c r="C56" s="309">
        <f ca="1">ROUND(C51/C52,3)</f>
        <v>1.4E-2</v>
      </c>
    </row>
    <row r="57" spans="1:7">
      <c r="B57" s="308" t="s">
        <v>68</v>
      </c>
      <c r="C57" s="31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sheetPr codeName="Sheet41"/>
  <dimension ref="A1:S344"/>
  <sheetViews>
    <sheetView workbookViewId="0">
      <selection activeCell="G224" sqref="G224"/>
    </sheetView>
  </sheetViews>
  <sheetFormatPr defaultColWidth="9" defaultRowHeight="13.5"/>
  <cols>
    <col min="1" max="1" width="12.625" style="838" customWidth="1"/>
    <col min="2" max="5" width="10.25" style="796" customWidth="1"/>
    <col min="6" max="6" width="9" style="796"/>
    <col min="7" max="8" width="9" style="811"/>
    <col min="9" max="16384" width="9" style="796"/>
  </cols>
  <sheetData>
    <row r="1" spans="1:19">
      <c r="A1" s="3336" t="s">
        <v>156</v>
      </c>
      <c r="B1" s="3336"/>
      <c r="C1" s="3336"/>
      <c r="D1" s="3336"/>
      <c r="E1" s="3336"/>
      <c r="F1" s="3336"/>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4.25" thickBot="1">
      <c r="A2" s="3337" t="s">
        <v>169</v>
      </c>
      <c r="B2" s="3337"/>
      <c r="C2" s="3337"/>
      <c r="D2" s="3337"/>
      <c r="E2" s="3337"/>
      <c r="F2" s="3337"/>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38"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39"/>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42"/>
  <dimension ref="A1:F344"/>
  <sheetViews>
    <sheetView workbookViewId="0">
      <selection activeCell="F6" sqref="F6"/>
    </sheetView>
  </sheetViews>
  <sheetFormatPr defaultRowHeight="13.5"/>
  <cols>
    <col min="1" max="1" width="12.625" style="838" customWidth="1"/>
    <col min="2" max="2" width="10.25" style="796" customWidth="1"/>
  </cols>
  <sheetData>
    <row r="1" spans="1:6">
      <c r="A1" s="3336" t="s">
        <v>867</v>
      </c>
      <c r="B1" s="3336"/>
    </row>
    <row r="2" spans="1:6" ht="14.25" thickBot="1">
      <c r="A2" s="1040"/>
      <c r="B2" s="1040"/>
    </row>
    <row r="3" spans="1:6" ht="14.25" thickBot="1">
      <c r="A3" s="1040"/>
      <c r="B3" s="1040"/>
      <c r="C3" s="1044" t="s">
        <v>870</v>
      </c>
      <c r="D3" s="1044" t="s">
        <v>871</v>
      </c>
      <c r="E3" s="1044" t="s">
        <v>872</v>
      </c>
      <c r="F3" s="1044" t="s">
        <v>873</v>
      </c>
    </row>
    <row r="4" spans="1:6" ht="14.25" thickBot="1">
      <c r="A4" s="1042" t="s">
        <v>868</v>
      </c>
      <c r="B4" s="1043" t="s">
        <v>869</v>
      </c>
      <c r="C4" s="1044"/>
      <c r="D4" s="1044"/>
      <c r="E4" s="1044"/>
      <c r="F4" s="1044"/>
    </row>
    <row r="5" spans="1:6" ht="14.25" thickBot="1">
      <c r="A5" s="823" t="s">
        <v>874</v>
      </c>
      <c r="B5" s="824" t="s">
        <v>875</v>
      </c>
      <c r="C5" s="1045">
        <v>8.8999999999999996E-2</v>
      </c>
      <c r="D5" s="1045">
        <v>7.3999999999999996E-2</v>
      </c>
      <c r="E5" s="1045">
        <v>7.4999999999999997E-2</v>
      </c>
      <c r="F5" s="1046">
        <v>0.1</v>
      </c>
    </row>
    <row r="6" spans="1:6" ht="14.25" thickBot="1">
      <c r="A6" s="823" t="s">
        <v>212</v>
      </c>
      <c r="B6" s="817" t="s">
        <v>876</v>
      </c>
      <c r="C6" s="1047">
        <v>0.1</v>
      </c>
      <c r="D6" s="1047">
        <v>9.0999999999999998E-2</v>
      </c>
      <c r="E6" s="1047">
        <v>9.0999999999999998E-2</v>
      </c>
      <c r="F6" s="1048">
        <v>0.1</v>
      </c>
    </row>
    <row r="7" spans="1:6" ht="14.25" thickBot="1">
      <c r="A7" s="823" t="s">
        <v>212</v>
      </c>
      <c r="B7" s="827" t="s">
        <v>201</v>
      </c>
      <c r="C7" s="1047">
        <v>8.5999999999999993E-2</v>
      </c>
      <c r="D7" s="1047">
        <v>9.6000000000000002E-2</v>
      </c>
      <c r="E7" s="1047">
        <v>7.5999999999999998E-2</v>
      </c>
      <c r="F7" s="1048">
        <v>0.1</v>
      </c>
    </row>
    <row r="8" spans="1:6" ht="14.25" thickBot="1">
      <c r="A8" s="823" t="s">
        <v>212</v>
      </c>
      <c r="B8" s="817" t="s">
        <v>213</v>
      </c>
      <c r="C8" s="1047">
        <v>9.9000000000000005E-2</v>
      </c>
      <c r="D8" s="1047">
        <v>9.8000000000000004E-2</v>
      </c>
      <c r="E8" s="1047">
        <v>9.8000000000000004E-2</v>
      </c>
      <c r="F8" s="1048">
        <v>0.1</v>
      </c>
    </row>
    <row r="9" spans="1:6" ht="14.25" thickBot="1">
      <c r="A9" s="833" t="s">
        <v>212</v>
      </c>
      <c r="B9" s="828" t="s">
        <v>225</v>
      </c>
      <c r="C9" s="1049">
        <v>0.05</v>
      </c>
      <c r="D9" s="1057"/>
      <c r="E9" s="1057"/>
      <c r="F9" s="1058"/>
    </row>
    <row r="10" spans="1:6" ht="14.25" thickBot="1">
      <c r="A10" s="823" t="s">
        <v>269</v>
      </c>
      <c r="B10" s="824" t="s">
        <v>877</v>
      </c>
      <c r="C10" s="1045">
        <v>8.8999999999999996E-2</v>
      </c>
      <c r="D10" s="1045">
        <v>7.2999999999999995E-2</v>
      </c>
      <c r="E10" s="1045">
        <v>8.2000000000000003E-2</v>
      </c>
      <c r="F10" s="1046">
        <v>0.1</v>
      </c>
    </row>
    <row r="11" spans="1:6" ht="14.25" thickBot="1">
      <c r="A11" s="823" t="s">
        <v>269</v>
      </c>
      <c r="B11" s="827" t="s">
        <v>188</v>
      </c>
      <c r="C11" s="1047">
        <v>8.8999999999999996E-2</v>
      </c>
      <c r="D11" s="1047">
        <v>7.2999999999999995E-2</v>
      </c>
      <c r="E11" s="1047">
        <v>8.2000000000000003E-2</v>
      </c>
      <c r="F11" s="1048">
        <v>0.1</v>
      </c>
    </row>
    <row r="12" spans="1:6" ht="14.25" thickBot="1">
      <c r="A12" s="823" t="s">
        <v>269</v>
      </c>
      <c r="B12" s="827" t="s">
        <v>138</v>
      </c>
      <c r="C12" s="1047">
        <v>6.0999999999999999E-2</v>
      </c>
      <c r="D12" s="1047">
        <v>7.0999999999999994E-2</v>
      </c>
      <c r="E12" s="1047">
        <v>9.6000000000000002E-2</v>
      </c>
      <c r="F12" s="1048">
        <v>0.1</v>
      </c>
    </row>
    <row r="13" spans="1:6" ht="14.25" thickBot="1">
      <c r="A13" s="823" t="s">
        <v>269</v>
      </c>
      <c r="B13" s="827" t="s">
        <v>214</v>
      </c>
      <c r="C13" s="1047">
        <v>6.9000000000000006E-2</v>
      </c>
      <c r="D13" s="1047">
        <v>6.5000000000000002E-2</v>
      </c>
      <c r="E13" s="1047">
        <v>6.6000000000000003E-2</v>
      </c>
      <c r="F13" s="1048">
        <v>0.1</v>
      </c>
    </row>
    <row r="14" spans="1:6" ht="14.25" thickBot="1">
      <c r="A14" s="823" t="s">
        <v>269</v>
      </c>
      <c r="B14" s="827" t="s">
        <v>226</v>
      </c>
      <c r="C14" s="1047">
        <v>0.1</v>
      </c>
      <c r="D14" s="1047">
        <v>6.5000000000000002E-2</v>
      </c>
      <c r="E14" s="1047">
        <v>7.0000000000000007E-2</v>
      </c>
      <c r="F14" s="1048">
        <v>0.1</v>
      </c>
    </row>
    <row r="15" spans="1:6" ht="14.25" thickBot="1">
      <c r="A15" s="823" t="s">
        <v>269</v>
      </c>
      <c r="B15" s="827" t="s">
        <v>237</v>
      </c>
      <c r="C15" s="1047">
        <v>9.8000000000000004E-2</v>
      </c>
      <c r="D15" s="1047">
        <v>8.8999999999999996E-2</v>
      </c>
      <c r="E15" s="1047">
        <v>8.8999999999999996E-2</v>
      </c>
      <c r="F15" s="1048">
        <v>0.1</v>
      </c>
    </row>
    <row r="16" spans="1:6" ht="14.25" thickBot="1">
      <c r="A16" s="823" t="s">
        <v>269</v>
      </c>
      <c r="B16" s="827" t="s">
        <v>248</v>
      </c>
      <c r="C16" s="1047">
        <v>7.0000000000000007E-2</v>
      </c>
      <c r="D16" s="1047">
        <v>9.2999999999999999E-2</v>
      </c>
      <c r="E16" s="1047">
        <v>9.6000000000000002E-2</v>
      </c>
      <c r="F16" s="1048">
        <v>0.1</v>
      </c>
    </row>
    <row r="17" spans="1:6" ht="14.25" thickBot="1">
      <c r="A17" s="823" t="s">
        <v>269</v>
      </c>
      <c r="B17" s="827" t="s">
        <v>259</v>
      </c>
      <c r="C17" s="1047">
        <v>9.5000000000000001E-2</v>
      </c>
      <c r="D17" s="1047">
        <v>0.1</v>
      </c>
      <c r="E17" s="1047">
        <v>0.1</v>
      </c>
      <c r="F17" s="1059"/>
    </row>
    <row r="18" spans="1:6" ht="14.25" thickBot="1">
      <c r="A18" s="823" t="s">
        <v>269</v>
      </c>
      <c r="B18" s="827" t="s">
        <v>271</v>
      </c>
      <c r="C18" s="1047">
        <v>7.3999999999999996E-2</v>
      </c>
      <c r="D18" s="1047">
        <v>9.9000000000000005E-2</v>
      </c>
      <c r="E18" s="1047">
        <v>0.1</v>
      </c>
      <c r="F18" s="1059"/>
    </row>
    <row r="19" spans="1:6" ht="14.25" thickBot="1">
      <c r="A19" s="823" t="s">
        <v>269</v>
      </c>
      <c r="B19" s="827" t="s">
        <v>281</v>
      </c>
      <c r="C19" s="1047">
        <v>9.9000000000000005E-2</v>
      </c>
      <c r="D19" s="1047">
        <v>7.5999999999999998E-2</v>
      </c>
      <c r="E19" s="1047">
        <v>8.6999999999999994E-2</v>
      </c>
      <c r="F19" s="1059"/>
    </row>
    <row r="20" spans="1:6" ht="14.25" thickBot="1">
      <c r="A20" s="823" t="s">
        <v>269</v>
      </c>
      <c r="B20" s="827" t="s">
        <v>291</v>
      </c>
      <c r="C20" s="1047">
        <v>9.8000000000000004E-2</v>
      </c>
      <c r="D20" s="1047">
        <v>8.5000000000000006E-2</v>
      </c>
      <c r="E20" s="1047">
        <v>8.2000000000000003E-2</v>
      </c>
      <c r="F20" s="1059"/>
    </row>
    <row r="21" spans="1:6" ht="14.25" thickBot="1">
      <c r="A21" s="823" t="s">
        <v>269</v>
      </c>
      <c r="B21" s="827" t="s">
        <v>301</v>
      </c>
      <c r="C21" s="1047">
        <v>6.6000000000000003E-2</v>
      </c>
      <c r="D21" s="1047">
        <v>6.4000000000000001E-2</v>
      </c>
      <c r="E21" s="1047">
        <v>6.5000000000000002E-2</v>
      </c>
      <c r="F21" s="1059"/>
    </row>
    <row r="22" spans="1:6" ht="14.25" thickBot="1">
      <c r="A22" s="823" t="s">
        <v>269</v>
      </c>
      <c r="B22" s="827" t="s">
        <v>878</v>
      </c>
      <c r="C22" s="1047">
        <v>0.08</v>
      </c>
      <c r="D22" s="1047">
        <v>9.8000000000000004E-2</v>
      </c>
      <c r="E22" s="1047">
        <v>9.8000000000000004E-2</v>
      </c>
      <c r="F22" s="1059"/>
    </row>
    <row r="23" spans="1:6" ht="14.25" thickBot="1">
      <c r="A23" s="823" t="s">
        <v>269</v>
      </c>
      <c r="B23" s="827" t="s">
        <v>322</v>
      </c>
      <c r="C23" s="1047">
        <v>9.9000000000000005E-2</v>
      </c>
      <c r="D23" s="1047">
        <v>9.8000000000000004E-2</v>
      </c>
      <c r="E23" s="1047">
        <v>9.0999999999999998E-2</v>
      </c>
      <c r="F23" s="1059"/>
    </row>
    <row r="24" spans="1:6" ht="14.25" thickBot="1">
      <c r="A24" s="823" t="s">
        <v>269</v>
      </c>
      <c r="B24" s="827" t="s">
        <v>333</v>
      </c>
      <c r="C24" s="1047">
        <v>8.8999999999999996E-2</v>
      </c>
      <c r="D24" s="1047">
        <v>9.7000000000000003E-2</v>
      </c>
      <c r="E24" s="1047">
        <v>7.0000000000000007E-2</v>
      </c>
      <c r="F24" s="1059"/>
    </row>
    <row r="25" spans="1:6" ht="14.25" thickBot="1">
      <c r="A25" s="823" t="s">
        <v>269</v>
      </c>
      <c r="B25" s="827" t="s">
        <v>343</v>
      </c>
      <c r="C25" s="1047">
        <v>8.8999999999999996E-2</v>
      </c>
      <c r="D25" s="1047">
        <v>0.1</v>
      </c>
      <c r="E25" s="1047">
        <v>8.1000000000000003E-2</v>
      </c>
      <c r="F25" s="1059"/>
    </row>
    <row r="26" spans="1:6" ht="14.25" thickBot="1">
      <c r="A26" s="823" t="s">
        <v>269</v>
      </c>
      <c r="B26" s="827" t="s">
        <v>353</v>
      </c>
      <c r="C26" s="1060"/>
      <c r="D26" s="1047">
        <v>9.6000000000000002E-2</v>
      </c>
      <c r="E26" s="1047">
        <v>9.2999999999999999E-2</v>
      </c>
      <c r="F26" s="1059"/>
    </row>
    <row r="27" spans="1:6" ht="14.25" thickBot="1">
      <c r="A27" s="823" t="s">
        <v>269</v>
      </c>
      <c r="B27" s="827" t="s">
        <v>363</v>
      </c>
      <c r="C27" s="1060"/>
      <c r="D27" s="1047">
        <v>7.5999999999999998E-2</v>
      </c>
      <c r="E27" s="1047">
        <v>9.1999999999999998E-2</v>
      </c>
      <c r="F27" s="1059"/>
    </row>
    <row r="28" spans="1:6" ht="14.25" thickBot="1">
      <c r="A28" s="833" t="s">
        <v>269</v>
      </c>
      <c r="B28" s="828" t="s">
        <v>373</v>
      </c>
      <c r="C28" s="1057"/>
      <c r="D28" s="1049">
        <v>7.5999999999999998E-2</v>
      </c>
      <c r="E28" s="1049">
        <v>9.1999999999999998E-2</v>
      </c>
      <c r="F28" s="1058"/>
    </row>
    <row r="29" spans="1:6" ht="14.25" thickBot="1">
      <c r="A29" s="823" t="s">
        <v>442</v>
      </c>
      <c r="B29" s="824" t="s">
        <v>879</v>
      </c>
      <c r="C29" s="1045">
        <v>6.4000000000000001E-2</v>
      </c>
      <c r="D29" s="1045">
        <v>6.5000000000000002E-2</v>
      </c>
      <c r="E29" s="1045">
        <v>6.9000000000000006E-2</v>
      </c>
      <c r="F29" s="1046">
        <v>0.1</v>
      </c>
    </row>
    <row r="30" spans="1:6" ht="14.25" thickBot="1">
      <c r="A30" s="823" t="s">
        <v>442</v>
      </c>
      <c r="B30" s="827" t="s">
        <v>189</v>
      </c>
      <c r="C30" s="1047">
        <v>6.4000000000000001E-2</v>
      </c>
      <c r="D30" s="1047">
        <v>9.9000000000000005E-2</v>
      </c>
      <c r="E30" s="1047">
        <v>0.1</v>
      </c>
      <c r="F30" s="1048">
        <v>0.1</v>
      </c>
    </row>
    <row r="31" spans="1:6" ht="14.25" thickBot="1">
      <c r="A31" s="823" t="s">
        <v>442</v>
      </c>
      <c r="B31" s="827" t="s">
        <v>202</v>
      </c>
      <c r="C31" s="1047">
        <v>0.1</v>
      </c>
      <c r="D31" s="1047">
        <v>9.5000000000000001E-2</v>
      </c>
      <c r="E31" s="1047">
        <v>8.8999999999999996E-2</v>
      </c>
      <c r="F31" s="1048">
        <v>0.1</v>
      </c>
    </row>
    <row r="32" spans="1:6" ht="14.25" thickBot="1">
      <c r="A32" s="823" t="s">
        <v>442</v>
      </c>
      <c r="B32" s="827" t="s">
        <v>215</v>
      </c>
      <c r="C32" s="1047">
        <v>0.05</v>
      </c>
      <c r="D32" s="1047">
        <v>0.05</v>
      </c>
      <c r="E32" s="1047">
        <v>8.7999999999999995E-2</v>
      </c>
      <c r="F32" s="1048">
        <v>0.1</v>
      </c>
    </row>
    <row r="33" spans="1:6" ht="14.25" thickBot="1">
      <c r="A33" s="823" t="s">
        <v>442</v>
      </c>
      <c r="B33" s="827" t="s">
        <v>227</v>
      </c>
      <c r="C33" s="1047">
        <v>7.4999999999999997E-2</v>
      </c>
      <c r="D33" s="1047">
        <v>9.4E-2</v>
      </c>
      <c r="E33" s="1047">
        <v>9.7000000000000003E-2</v>
      </c>
      <c r="F33" s="1048">
        <v>0.1</v>
      </c>
    </row>
    <row r="34" spans="1:6" ht="14.25" thickBot="1">
      <c r="A34" s="823" t="s">
        <v>442</v>
      </c>
      <c r="B34" s="827" t="s">
        <v>238</v>
      </c>
      <c r="C34" s="1047">
        <v>9.8000000000000004E-2</v>
      </c>
      <c r="D34" s="1047">
        <v>8.5999999999999993E-2</v>
      </c>
      <c r="E34" s="1047">
        <v>9.7000000000000003E-2</v>
      </c>
      <c r="F34" s="1048">
        <v>0.1</v>
      </c>
    </row>
    <row r="35" spans="1:6" ht="14.25" thickBot="1">
      <c r="A35" s="823" t="s">
        <v>442</v>
      </c>
      <c r="B35" s="827" t="s">
        <v>249</v>
      </c>
      <c r="C35" s="1047">
        <v>5.8999999999999997E-2</v>
      </c>
      <c r="D35" s="1047">
        <v>6.5000000000000002E-2</v>
      </c>
      <c r="E35" s="1047">
        <v>7.0000000000000007E-2</v>
      </c>
      <c r="F35" s="1048">
        <v>0.1</v>
      </c>
    </row>
    <row r="36" spans="1:6" ht="14.25" thickBot="1">
      <c r="A36" s="823" t="s">
        <v>442</v>
      </c>
      <c r="B36" s="827" t="s">
        <v>260</v>
      </c>
      <c r="C36" s="1047">
        <v>6.3E-2</v>
      </c>
      <c r="D36" s="1047">
        <v>0.1</v>
      </c>
      <c r="E36" s="1047">
        <v>0.1</v>
      </c>
      <c r="F36" s="1048">
        <v>0.1</v>
      </c>
    </row>
    <row r="37" spans="1:6" ht="14.25" thickBot="1">
      <c r="A37" s="823" t="s">
        <v>442</v>
      </c>
      <c r="B37" s="827" t="s">
        <v>272</v>
      </c>
      <c r="C37" s="1047">
        <v>7.3999999999999996E-2</v>
      </c>
      <c r="D37" s="1047">
        <v>0.1</v>
      </c>
      <c r="E37" s="1047">
        <v>0.1</v>
      </c>
      <c r="F37" s="1048">
        <v>0.1</v>
      </c>
    </row>
    <row r="38" spans="1:6" ht="14.25" thickBot="1">
      <c r="A38" s="823" t="s">
        <v>442</v>
      </c>
      <c r="B38" s="827" t="s">
        <v>282</v>
      </c>
      <c r="C38" s="1047">
        <v>0.1</v>
      </c>
      <c r="D38" s="1047">
        <v>9.6000000000000002E-2</v>
      </c>
      <c r="E38" s="1047">
        <v>9.6000000000000002E-2</v>
      </c>
      <c r="F38" s="1059"/>
    </row>
    <row r="39" spans="1:6" ht="14.25" thickBot="1">
      <c r="A39" s="823" t="s">
        <v>442</v>
      </c>
      <c r="B39" s="827" t="s">
        <v>292</v>
      </c>
      <c r="C39" s="1047">
        <v>0.1</v>
      </c>
      <c r="D39" s="1047">
        <v>9.6000000000000002E-2</v>
      </c>
      <c r="E39" s="1047">
        <v>9.6000000000000002E-2</v>
      </c>
      <c r="F39" s="1059"/>
    </row>
    <row r="40" spans="1:6" ht="14.25" thickBot="1">
      <c r="A40" s="823" t="s">
        <v>442</v>
      </c>
      <c r="B40" s="827" t="s">
        <v>302</v>
      </c>
      <c r="C40" s="1047">
        <v>9.6000000000000002E-2</v>
      </c>
      <c r="D40" s="1047">
        <v>0.1</v>
      </c>
      <c r="E40" s="1047">
        <v>9.9000000000000005E-2</v>
      </c>
      <c r="F40" s="1059"/>
    </row>
    <row r="41" spans="1:6" ht="14.25" thickBot="1">
      <c r="A41" s="823" t="s">
        <v>442</v>
      </c>
      <c r="B41" s="827" t="s">
        <v>312</v>
      </c>
      <c r="C41" s="1047">
        <v>9.6000000000000002E-2</v>
      </c>
      <c r="D41" s="1047">
        <v>9.8000000000000004E-2</v>
      </c>
      <c r="E41" s="1047">
        <v>9.8000000000000004E-2</v>
      </c>
      <c r="F41" s="1059"/>
    </row>
    <row r="42" spans="1:6" ht="14.25" thickBot="1">
      <c r="A42" s="823" t="s">
        <v>442</v>
      </c>
      <c r="B42" s="827" t="s">
        <v>323</v>
      </c>
      <c r="C42" s="1047">
        <v>0.1</v>
      </c>
      <c r="D42" s="1047">
        <v>8.7999999999999995E-2</v>
      </c>
      <c r="E42" s="1047">
        <v>0.1</v>
      </c>
      <c r="F42" s="1059"/>
    </row>
    <row r="43" spans="1:6" ht="14.25" thickBot="1">
      <c r="A43" s="823" t="s">
        <v>442</v>
      </c>
      <c r="B43" s="827" t="s">
        <v>334</v>
      </c>
      <c r="C43" s="1047">
        <v>9.8000000000000004E-2</v>
      </c>
      <c r="D43" s="1047">
        <v>9.7000000000000003E-2</v>
      </c>
      <c r="E43" s="1047">
        <v>9.6000000000000002E-2</v>
      </c>
      <c r="F43" s="1059"/>
    </row>
    <row r="44" spans="1:6" ht="14.25" thickBot="1">
      <c r="A44" s="823" t="s">
        <v>442</v>
      </c>
      <c r="B44" s="827" t="s">
        <v>344</v>
      </c>
      <c r="C44" s="1047">
        <v>8.5999999999999993E-2</v>
      </c>
      <c r="D44" s="1047">
        <v>7.9000000000000001E-2</v>
      </c>
      <c r="E44" s="1047">
        <v>7.0999999999999994E-2</v>
      </c>
      <c r="F44" s="1059"/>
    </row>
    <row r="45" spans="1:6" ht="14.25" thickBot="1">
      <c r="A45" s="823" t="s">
        <v>442</v>
      </c>
      <c r="B45" s="827" t="s">
        <v>354</v>
      </c>
      <c r="C45" s="1047">
        <v>9.8000000000000004E-2</v>
      </c>
      <c r="D45" s="1047">
        <v>9.6000000000000002E-2</v>
      </c>
      <c r="E45" s="1047">
        <v>9.6000000000000002E-2</v>
      </c>
      <c r="F45" s="1059"/>
    </row>
    <row r="46" spans="1:6" ht="14.25" thickBot="1">
      <c r="A46" s="823" t="s">
        <v>442</v>
      </c>
      <c r="B46" s="827" t="s">
        <v>364</v>
      </c>
      <c r="C46" s="1047">
        <v>8.5999999999999993E-2</v>
      </c>
      <c r="D46" s="1047">
        <v>9.8000000000000004E-2</v>
      </c>
      <c r="E46" s="1047">
        <v>8.7999999999999995E-2</v>
      </c>
      <c r="F46" s="1059"/>
    </row>
    <row r="47" spans="1:6" ht="14.25" thickBot="1">
      <c r="A47" s="823" t="s">
        <v>442</v>
      </c>
      <c r="B47" s="827" t="s">
        <v>374</v>
      </c>
      <c r="C47" s="1047">
        <v>9.6000000000000002E-2</v>
      </c>
      <c r="D47" s="1060"/>
      <c r="E47" s="1047">
        <v>6.9000000000000006E-2</v>
      </c>
      <c r="F47" s="1059"/>
    </row>
    <row r="48" spans="1:6" ht="14.25" thickBot="1">
      <c r="A48" s="833" t="s">
        <v>442</v>
      </c>
      <c r="B48" s="828" t="s">
        <v>383</v>
      </c>
      <c r="C48" s="1049">
        <v>9.8000000000000004E-2</v>
      </c>
      <c r="D48" s="1057"/>
      <c r="E48" s="1049">
        <v>9.5000000000000001E-2</v>
      </c>
      <c r="F48" s="1058"/>
    </row>
    <row r="49" spans="1:6" ht="14.25" thickBot="1">
      <c r="A49" s="823" t="s">
        <v>137</v>
      </c>
      <c r="B49" s="824" t="s">
        <v>880</v>
      </c>
      <c r="C49" s="1045">
        <v>9.7000000000000003E-2</v>
      </c>
      <c r="D49" s="1045">
        <v>9.5000000000000001E-2</v>
      </c>
      <c r="E49" s="1045">
        <v>9.7000000000000003E-2</v>
      </c>
      <c r="F49" s="1046">
        <v>0.1</v>
      </c>
    </row>
    <row r="50" spans="1:6" ht="14.25" thickBot="1">
      <c r="A50" s="823" t="s">
        <v>137</v>
      </c>
      <c r="B50" s="817" t="s">
        <v>190</v>
      </c>
      <c r="C50" s="1047">
        <v>7.4999999999999997E-2</v>
      </c>
      <c r="D50" s="1047">
        <v>9.5000000000000001E-2</v>
      </c>
      <c r="E50" s="1047">
        <v>0.1</v>
      </c>
      <c r="F50" s="1048">
        <v>0.1</v>
      </c>
    </row>
    <row r="51" spans="1:6" ht="14.25" thickBot="1">
      <c r="A51" s="823" t="s">
        <v>137</v>
      </c>
      <c r="B51" s="817" t="s">
        <v>203</v>
      </c>
      <c r="C51" s="1047">
        <v>9.8000000000000004E-2</v>
      </c>
      <c r="D51" s="1047">
        <v>8.8999999999999996E-2</v>
      </c>
      <c r="E51" s="1047">
        <v>0.1</v>
      </c>
      <c r="F51" s="1048">
        <v>0.1</v>
      </c>
    </row>
    <row r="52" spans="1:6" ht="14.25" thickBot="1">
      <c r="A52" s="823" t="s">
        <v>137</v>
      </c>
      <c r="B52" s="817" t="s">
        <v>216</v>
      </c>
      <c r="C52" s="1047">
        <v>9.8000000000000004E-2</v>
      </c>
      <c r="D52" s="1047">
        <v>9.7000000000000003E-2</v>
      </c>
      <c r="E52" s="1047">
        <v>8.1000000000000003E-2</v>
      </c>
      <c r="F52" s="1048">
        <v>0.1</v>
      </c>
    </row>
    <row r="53" spans="1:6" ht="14.25" thickBot="1">
      <c r="A53" s="823" t="s">
        <v>137</v>
      </c>
      <c r="B53" s="817" t="s">
        <v>228</v>
      </c>
      <c r="C53" s="1047">
        <v>9.7000000000000003E-2</v>
      </c>
      <c r="D53" s="1047">
        <v>7.5999999999999998E-2</v>
      </c>
      <c r="E53" s="1047">
        <v>7.0999999999999994E-2</v>
      </c>
      <c r="F53" s="1048">
        <v>0.1</v>
      </c>
    </row>
    <row r="54" spans="1:6" ht="14.25" thickBot="1">
      <c r="A54" s="823" t="s">
        <v>137</v>
      </c>
      <c r="B54" s="817" t="s">
        <v>239</v>
      </c>
      <c r="C54" s="1047">
        <v>7.5999999999999998E-2</v>
      </c>
      <c r="D54" s="1047">
        <v>0.1</v>
      </c>
      <c r="E54" s="1047">
        <v>9.9000000000000005E-2</v>
      </c>
      <c r="F54" s="1048">
        <v>0.1</v>
      </c>
    </row>
    <row r="55" spans="1:6" ht="14.25" thickBot="1">
      <c r="A55" s="823" t="s">
        <v>137</v>
      </c>
      <c r="B55" s="817" t="s">
        <v>250</v>
      </c>
      <c r="C55" s="1047">
        <v>0.1</v>
      </c>
      <c r="D55" s="1047">
        <v>0.1</v>
      </c>
      <c r="E55" s="1047">
        <v>9.6000000000000002E-2</v>
      </c>
      <c r="F55" s="1048">
        <v>0.1</v>
      </c>
    </row>
    <row r="56" spans="1:6" ht="14.25" thickBot="1">
      <c r="A56" s="823" t="s">
        <v>137</v>
      </c>
      <c r="B56" s="817" t="s">
        <v>261</v>
      </c>
      <c r="C56" s="1047">
        <v>0.1</v>
      </c>
      <c r="D56" s="1047">
        <v>9.6000000000000002E-2</v>
      </c>
      <c r="E56" s="1047">
        <v>5.1999999999999998E-2</v>
      </c>
      <c r="F56" s="1048">
        <v>0.1</v>
      </c>
    </row>
    <row r="57" spans="1:6" ht="14.25" thickBot="1">
      <c r="A57" s="823" t="s">
        <v>137</v>
      </c>
      <c r="B57" s="817" t="s">
        <v>273</v>
      </c>
      <c r="C57" s="1047">
        <v>9.7000000000000003E-2</v>
      </c>
      <c r="D57" s="1047">
        <v>9.6000000000000002E-2</v>
      </c>
      <c r="E57" s="1047">
        <v>9.6000000000000002E-2</v>
      </c>
      <c r="F57" s="1048">
        <v>0.1</v>
      </c>
    </row>
    <row r="58" spans="1:6" ht="14.25" thickBot="1">
      <c r="A58" s="823" t="s">
        <v>137</v>
      </c>
      <c r="B58" s="817" t="s">
        <v>283</v>
      </c>
      <c r="C58" s="1047">
        <v>9.6000000000000002E-2</v>
      </c>
      <c r="D58" s="1047">
        <v>9.9000000000000005E-2</v>
      </c>
      <c r="E58" s="1047">
        <v>9.6000000000000002E-2</v>
      </c>
      <c r="F58" s="1048">
        <v>0.1</v>
      </c>
    </row>
    <row r="59" spans="1:6" ht="14.25" thickBot="1">
      <c r="A59" s="823" t="s">
        <v>137</v>
      </c>
      <c r="B59" s="817" t="s">
        <v>293</v>
      </c>
      <c r="C59" s="1047">
        <v>7.1999999999999995E-2</v>
      </c>
      <c r="D59" s="1047">
        <v>9.6000000000000002E-2</v>
      </c>
      <c r="E59" s="1047">
        <v>7.0999999999999994E-2</v>
      </c>
      <c r="F59" s="1048">
        <v>0.1</v>
      </c>
    </row>
    <row r="60" spans="1:6" ht="14.25" thickBot="1">
      <c r="A60" s="823" t="s">
        <v>137</v>
      </c>
      <c r="B60" s="817" t="s">
        <v>303</v>
      </c>
      <c r="C60" s="1047">
        <v>9.6000000000000002E-2</v>
      </c>
      <c r="D60" s="1047">
        <v>8.8999999999999996E-2</v>
      </c>
      <c r="E60" s="1047">
        <v>9.6000000000000002E-2</v>
      </c>
      <c r="F60" s="1048">
        <v>0.1</v>
      </c>
    </row>
    <row r="61" spans="1:6" ht="14.25" thickBot="1">
      <c r="A61" s="823" t="s">
        <v>137</v>
      </c>
      <c r="B61" s="817" t="s">
        <v>313</v>
      </c>
      <c r="C61" s="1047">
        <v>8.8999999999999996E-2</v>
      </c>
      <c r="D61" s="1047">
        <v>9.8000000000000004E-2</v>
      </c>
      <c r="E61" s="1047">
        <v>8.7999999999999995E-2</v>
      </c>
      <c r="F61" s="1059"/>
    </row>
    <row r="62" spans="1:6" ht="14.25" thickBot="1">
      <c r="A62" s="823" t="s">
        <v>137</v>
      </c>
      <c r="B62" s="817" t="s">
        <v>324</v>
      </c>
      <c r="C62" s="1047">
        <v>9.8000000000000004E-2</v>
      </c>
      <c r="D62" s="1047">
        <v>9.2999999999999999E-2</v>
      </c>
      <c r="E62" s="1047">
        <v>9.7000000000000003E-2</v>
      </c>
      <c r="F62" s="1059"/>
    </row>
    <row r="63" spans="1:6" ht="14.25" thickBot="1">
      <c r="A63" s="823" t="s">
        <v>137</v>
      </c>
      <c r="B63" s="817" t="s">
        <v>335</v>
      </c>
      <c r="C63" s="1047">
        <v>9.6000000000000002E-2</v>
      </c>
      <c r="D63" s="1047">
        <v>9.8000000000000004E-2</v>
      </c>
      <c r="E63" s="1047">
        <v>0.09</v>
      </c>
      <c r="F63" s="1059"/>
    </row>
    <row r="64" spans="1:6" ht="14.25" thickBot="1">
      <c r="A64" s="823" t="s">
        <v>137</v>
      </c>
      <c r="B64" s="817" t="s">
        <v>345</v>
      </c>
      <c r="C64" s="1047">
        <v>9.9000000000000005E-2</v>
      </c>
      <c r="D64" s="1047">
        <v>9.7000000000000003E-2</v>
      </c>
      <c r="E64" s="1047">
        <v>9.9000000000000005E-2</v>
      </c>
      <c r="F64" s="1059"/>
    </row>
    <row r="65" spans="1:6" ht="14.25" thickBot="1">
      <c r="A65" s="823" t="s">
        <v>137</v>
      </c>
      <c r="B65" s="817" t="s">
        <v>355</v>
      </c>
      <c r="C65" s="1047">
        <v>9.8000000000000004E-2</v>
      </c>
      <c r="D65" s="1047">
        <v>9.6000000000000002E-2</v>
      </c>
      <c r="E65" s="1047">
        <v>9.6000000000000002E-2</v>
      </c>
      <c r="F65" s="1059"/>
    </row>
    <row r="66" spans="1:6" ht="14.25" thickBot="1">
      <c r="A66" s="823" t="s">
        <v>137</v>
      </c>
      <c r="B66" s="817" t="s">
        <v>365</v>
      </c>
      <c r="C66" s="1047">
        <v>9.6000000000000002E-2</v>
      </c>
      <c r="D66" s="1047">
        <v>9.1999999999999998E-2</v>
      </c>
      <c r="E66" s="1047">
        <v>9.6000000000000002E-2</v>
      </c>
      <c r="F66" s="1059"/>
    </row>
    <row r="67" spans="1:6" ht="14.25" thickBot="1">
      <c r="A67" s="823" t="s">
        <v>137</v>
      </c>
      <c r="B67" s="817" t="s">
        <v>375</v>
      </c>
      <c r="C67" s="1047">
        <v>9.4E-2</v>
      </c>
      <c r="D67" s="1047">
        <v>0.1</v>
      </c>
      <c r="E67" s="1047">
        <v>8.7999999999999995E-2</v>
      </c>
      <c r="F67" s="1059"/>
    </row>
    <row r="68" spans="1:6" ht="14.25" thickBot="1">
      <c r="A68" s="823" t="s">
        <v>137</v>
      </c>
      <c r="B68" s="817" t="s">
        <v>384</v>
      </c>
      <c r="C68" s="1047">
        <v>0.1</v>
      </c>
      <c r="D68" s="1047">
        <v>8.7999999999999995E-2</v>
      </c>
      <c r="E68" s="1047">
        <v>9.7000000000000003E-2</v>
      </c>
      <c r="F68" s="1059"/>
    </row>
    <row r="69" spans="1:6" ht="14.25" thickBot="1">
      <c r="A69" s="823" t="s">
        <v>137</v>
      </c>
      <c r="B69" s="817" t="s">
        <v>393</v>
      </c>
      <c r="C69" s="1047">
        <v>6.4000000000000001E-2</v>
      </c>
      <c r="D69" s="1047">
        <v>0.1</v>
      </c>
      <c r="E69" s="1047">
        <v>0.1</v>
      </c>
      <c r="F69" s="1059"/>
    </row>
    <row r="70" spans="1:6" ht="14.25" thickBot="1">
      <c r="A70" s="823" t="s">
        <v>137</v>
      </c>
      <c r="B70" s="817" t="s">
        <v>401</v>
      </c>
      <c r="C70" s="1047">
        <v>9.0999999999999998E-2</v>
      </c>
      <c r="D70" s="1060"/>
      <c r="E70" s="1060"/>
      <c r="F70" s="1059"/>
    </row>
    <row r="71" spans="1:6" ht="14.25" thickBot="1">
      <c r="A71" s="823" t="s">
        <v>137</v>
      </c>
      <c r="B71" s="817" t="s">
        <v>408</v>
      </c>
      <c r="C71" s="1047">
        <v>0.1</v>
      </c>
      <c r="D71" s="1060"/>
      <c r="E71" s="1060"/>
      <c r="F71" s="1059"/>
    </row>
    <row r="72" spans="1:6" ht="14.25" thickBot="1">
      <c r="A72" s="823" t="s">
        <v>137</v>
      </c>
      <c r="B72" s="817" t="s">
        <v>881</v>
      </c>
      <c r="C72" s="1060"/>
      <c r="D72" s="1060"/>
      <c r="E72" s="1060"/>
      <c r="F72" s="1048">
        <v>0.05</v>
      </c>
    </row>
    <row r="73" spans="1:6" ht="14.25" thickBot="1">
      <c r="A73" s="823" t="s">
        <v>137</v>
      </c>
      <c r="B73" s="817" t="s">
        <v>882</v>
      </c>
      <c r="C73" s="1060"/>
      <c r="D73" s="1060"/>
      <c r="E73" s="1060"/>
      <c r="F73" s="1048">
        <v>0.05</v>
      </c>
    </row>
    <row r="74" spans="1:6" ht="14.25" thickBot="1">
      <c r="A74" s="823" t="s">
        <v>137</v>
      </c>
      <c r="B74" s="817" t="s">
        <v>883</v>
      </c>
      <c r="C74" s="1060"/>
      <c r="D74" s="1060"/>
      <c r="E74" s="1060"/>
      <c r="F74" s="1048">
        <v>0.05</v>
      </c>
    </row>
    <row r="75" spans="1:6" ht="14.25" thickBot="1">
      <c r="A75" s="833" t="s">
        <v>137</v>
      </c>
      <c r="B75" s="829" t="s">
        <v>884</v>
      </c>
      <c r="C75" s="1057"/>
      <c r="D75" s="1057"/>
      <c r="E75" s="1057"/>
      <c r="F75" s="1050">
        <v>0.05</v>
      </c>
    </row>
    <row r="76" spans="1:6" ht="14.25" thickBot="1">
      <c r="A76" s="823" t="s">
        <v>523</v>
      </c>
      <c r="B76" s="824" t="s">
        <v>885</v>
      </c>
      <c r="C76" s="1045">
        <v>0.1</v>
      </c>
      <c r="D76" s="1045">
        <v>0.1</v>
      </c>
      <c r="E76" s="1045">
        <v>0.1</v>
      </c>
      <c r="F76" s="1046">
        <v>0.1</v>
      </c>
    </row>
    <row r="77" spans="1:6" ht="14.25" thickBot="1">
      <c r="A77" s="823" t="s">
        <v>523</v>
      </c>
      <c r="B77" s="817" t="s">
        <v>191</v>
      </c>
      <c r="C77" s="1047">
        <v>8.7999999999999995E-2</v>
      </c>
      <c r="D77" s="1047">
        <v>8.6999999999999994E-2</v>
      </c>
      <c r="E77" s="1047">
        <v>7.9000000000000001E-2</v>
      </c>
      <c r="F77" s="1048">
        <v>0.1</v>
      </c>
    </row>
    <row r="78" spans="1:6" ht="14.25" thickBot="1">
      <c r="A78" s="823" t="s">
        <v>523</v>
      </c>
      <c r="B78" s="817" t="s">
        <v>204</v>
      </c>
      <c r="C78" s="1047">
        <v>8.6999999999999994E-2</v>
      </c>
      <c r="D78" s="1047">
        <v>8.4000000000000005E-2</v>
      </c>
      <c r="E78" s="1047">
        <v>9.6000000000000002E-2</v>
      </c>
      <c r="F78" s="1048">
        <v>0.1</v>
      </c>
    </row>
    <row r="79" spans="1:6" ht="14.25" thickBot="1">
      <c r="A79" s="823" t="s">
        <v>523</v>
      </c>
      <c r="B79" s="817" t="s">
        <v>217</v>
      </c>
      <c r="C79" s="1047">
        <v>9.8000000000000004E-2</v>
      </c>
      <c r="D79" s="1047">
        <v>9.8000000000000004E-2</v>
      </c>
      <c r="E79" s="1047">
        <v>9.0999999999999998E-2</v>
      </c>
      <c r="F79" s="1048">
        <v>0.1</v>
      </c>
    </row>
    <row r="80" spans="1:6" ht="14.25" thickBot="1">
      <c r="A80" s="823" t="s">
        <v>523</v>
      </c>
      <c r="B80" s="817" t="s">
        <v>229</v>
      </c>
      <c r="C80" s="1047">
        <v>9.6000000000000002E-2</v>
      </c>
      <c r="D80" s="1047">
        <v>9.6000000000000002E-2</v>
      </c>
      <c r="E80" s="1047">
        <v>0.1</v>
      </c>
      <c r="F80" s="1048">
        <v>0.1</v>
      </c>
    </row>
    <row r="81" spans="1:6" ht="14.25" thickBot="1">
      <c r="A81" s="823" t="s">
        <v>523</v>
      </c>
      <c r="B81" s="817" t="s">
        <v>240</v>
      </c>
      <c r="C81" s="1047">
        <v>9.9000000000000005E-2</v>
      </c>
      <c r="D81" s="1047">
        <v>9.9000000000000005E-2</v>
      </c>
      <c r="E81" s="1047">
        <v>9.8000000000000004E-2</v>
      </c>
      <c r="F81" s="1048">
        <v>0.1</v>
      </c>
    </row>
    <row r="82" spans="1:6" ht="14.25" thickBot="1">
      <c r="A82" s="823" t="s">
        <v>523</v>
      </c>
      <c r="B82" s="817" t="s">
        <v>251</v>
      </c>
      <c r="C82" s="1047">
        <v>9.9000000000000005E-2</v>
      </c>
      <c r="D82" s="1047">
        <v>9.9000000000000005E-2</v>
      </c>
      <c r="E82" s="1047">
        <v>9.7000000000000003E-2</v>
      </c>
      <c r="F82" s="1048">
        <v>0.1</v>
      </c>
    </row>
    <row r="83" spans="1:6" ht="14.25" thickBot="1">
      <c r="A83" s="823" t="s">
        <v>523</v>
      </c>
      <c r="B83" s="817" t="s">
        <v>262</v>
      </c>
      <c r="C83" s="1047">
        <v>9.8000000000000004E-2</v>
      </c>
      <c r="D83" s="1047">
        <v>9.8000000000000004E-2</v>
      </c>
      <c r="E83" s="1047">
        <v>9.8000000000000004E-2</v>
      </c>
      <c r="F83" s="1048">
        <v>0.1</v>
      </c>
    </row>
    <row r="84" spans="1:6" ht="14.25" thickBot="1">
      <c r="A84" s="823" t="s">
        <v>523</v>
      </c>
      <c r="B84" s="817" t="s">
        <v>274</v>
      </c>
      <c r="C84" s="1047">
        <v>9.9000000000000005E-2</v>
      </c>
      <c r="D84" s="1047">
        <v>9.9000000000000005E-2</v>
      </c>
      <c r="E84" s="1047">
        <v>9.9000000000000005E-2</v>
      </c>
      <c r="F84" s="1048">
        <v>0.1</v>
      </c>
    </row>
    <row r="85" spans="1:6" ht="14.25" thickBot="1">
      <c r="A85" s="823" t="s">
        <v>523</v>
      </c>
      <c r="B85" s="817" t="s">
        <v>284</v>
      </c>
      <c r="C85" s="1047">
        <v>9.9000000000000005E-2</v>
      </c>
      <c r="D85" s="1047">
        <v>9.9000000000000005E-2</v>
      </c>
      <c r="E85" s="1047">
        <v>9.9000000000000005E-2</v>
      </c>
      <c r="F85" s="1048">
        <v>0.1</v>
      </c>
    </row>
    <row r="86" spans="1:6" ht="14.25" thickBot="1">
      <c r="A86" s="823" t="s">
        <v>523</v>
      </c>
      <c r="B86" s="817" t="s">
        <v>294</v>
      </c>
      <c r="C86" s="1047">
        <v>0.1</v>
      </c>
      <c r="D86" s="1047">
        <v>0.1</v>
      </c>
      <c r="E86" s="1047">
        <v>7.6999999999999999E-2</v>
      </c>
      <c r="F86" s="1048">
        <v>0.1</v>
      </c>
    </row>
    <row r="87" spans="1:6" ht="14.25" thickBot="1">
      <c r="A87" s="823" t="s">
        <v>523</v>
      </c>
      <c r="B87" s="817" t="s">
        <v>304</v>
      </c>
      <c r="C87" s="1047">
        <v>0.1</v>
      </c>
      <c r="D87" s="1047">
        <v>0.1</v>
      </c>
      <c r="E87" s="1047">
        <v>9.8000000000000004E-2</v>
      </c>
      <c r="F87" s="1059"/>
    </row>
    <row r="88" spans="1:6" ht="14.25" thickBot="1">
      <c r="A88" s="823" t="s">
        <v>523</v>
      </c>
      <c r="B88" s="817" t="s">
        <v>314</v>
      </c>
      <c r="C88" s="1047">
        <v>9.1999999999999998E-2</v>
      </c>
      <c r="D88" s="1047">
        <v>8.5000000000000006E-2</v>
      </c>
      <c r="E88" s="1047">
        <v>9.6000000000000002E-2</v>
      </c>
      <c r="F88" s="1059"/>
    </row>
    <row r="89" spans="1:6" ht="14.25" thickBot="1">
      <c r="A89" s="823" t="s">
        <v>523</v>
      </c>
      <c r="B89" s="817" t="s">
        <v>325</v>
      </c>
      <c r="C89" s="1047">
        <v>0.1</v>
      </c>
      <c r="D89" s="1047">
        <v>0.1</v>
      </c>
      <c r="E89" s="1047">
        <v>9.7000000000000003E-2</v>
      </c>
      <c r="F89" s="1059"/>
    </row>
    <row r="90" spans="1:6" ht="14.25" thickBot="1">
      <c r="A90" s="823" t="s">
        <v>523</v>
      </c>
      <c r="B90" s="817" t="s">
        <v>336</v>
      </c>
      <c r="C90" s="1047">
        <v>9.8000000000000004E-2</v>
      </c>
      <c r="D90" s="1047">
        <v>9.8000000000000004E-2</v>
      </c>
      <c r="E90" s="1047">
        <v>8.7999999999999995E-2</v>
      </c>
      <c r="F90" s="1059"/>
    </row>
    <row r="91" spans="1:6" ht="14.25" thickBot="1">
      <c r="A91" s="823" t="s">
        <v>523</v>
      </c>
      <c r="B91" s="817" t="s">
        <v>346</v>
      </c>
      <c r="C91" s="1047">
        <v>9.9000000000000005E-2</v>
      </c>
      <c r="D91" s="1047">
        <v>9.9000000000000005E-2</v>
      </c>
      <c r="E91" s="1047">
        <v>9.0999999999999998E-2</v>
      </c>
      <c r="F91" s="1059"/>
    </row>
    <row r="92" spans="1:6" ht="14.25" thickBot="1">
      <c r="A92" s="823" t="s">
        <v>523</v>
      </c>
      <c r="B92" s="817" t="s">
        <v>356</v>
      </c>
      <c r="C92" s="1047">
        <v>9.6000000000000002E-2</v>
      </c>
      <c r="D92" s="1047">
        <v>9.6000000000000002E-2</v>
      </c>
      <c r="E92" s="1047">
        <v>7.2999999999999995E-2</v>
      </c>
      <c r="F92" s="1059"/>
    </row>
    <row r="93" spans="1:6" ht="14.25" thickBot="1">
      <c r="A93" s="823" t="s">
        <v>523</v>
      </c>
      <c r="B93" s="817" t="s">
        <v>366</v>
      </c>
      <c r="C93" s="1047">
        <v>9.6000000000000002E-2</v>
      </c>
      <c r="D93" s="1047">
        <v>9.6000000000000002E-2</v>
      </c>
      <c r="E93" s="1047">
        <v>9.9000000000000005E-2</v>
      </c>
      <c r="F93" s="1059"/>
    </row>
    <row r="94" spans="1:6" ht="14.25" thickBot="1">
      <c r="A94" s="823" t="s">
        <v>523</v>
      </c>
      <c r="B94" s="817" t="s">
        <v>376</v>
      </c>
      <c r="C94" s="1047">
        <v>7.5999999999999998E-2</v>
      </c>
      <c r="D94" s="1047">
        <v>7.3999999999999996E-2</v>
      </c>
      <c r="E94" s="1047">
        <v>9.7000000000000003E-2</v>
      </c>
      <c r="F94" s="1059"/>
    </row>
    <row r="95" spans="1:6" ht="14.25" thickBot="1">
      <c r="A95" s="823" t="s">
        <v>523</v>
      </c>
      <c r="B95" s="817" t="s">
        <v>385</v>
      </c>
      <c r="C95" s="1047">
        <v>9.9000000000000005E-2</v>
      </c>
      <c r="D95" s="1047">
        <v>9.4E-2</v>
      </c>
      <c r="E95" s="1047">
        <v>9.6000000000000002E-2</v>
      </c>
      <c r="F95" s="1059"/>
    </row>
    <row r="96" spans="1:6" ht="14.25" thickBot="1">
      <c r="A96" s="823" t="s">
        <v>523</v>
      </c>
      <c r="B96" s="817" t="s">
        <v>394</v>
      </c>
      <c r="C96" s="1047">
        <v>9.9000000000000005E-2</v>
      </c>
      <c r="D96" s="1047">
        <v>9.9000000000000005E-2</v>
      </c>
      <c r="E96" s="1047">
        <v>9.9000000000000005E-2</v>
      </c>
      <c r="F96" s="1059"/>
    </row>
    <row r="97" spans="1:6" ht="14.25" thickBot="1">
      <c r="A97" s="823" t="s">
        <v>523</v>
      </c>
      <c r="B97" s="817" t="s">
        <v>402</v>
      </c>
      <c r="C97" s="1047">
        <v>9.8000000000000004E-2</v>
      </c>
      <c r="D97" s="1047">
        <v>9.8000000000000004E-2</v>
      </c>
      <c r="E97" s="1047">
        <v>9.7000000000000003E-2</v>
      </c>
      <c r="F97" s="1059"/>
    </row>
    <row r="98" spans="1:6" ht="14.25" thickBot="1">
      <c r="A98" s="823" t="s">
        <v>523</v>
      </c>
      <c r="B98" s="817" t="s">
        <v>409</v>
      </c>
      <c r="C98" s="1047">
        <v>0.1</v>
      </c>
      <c r="D98" s="1047">
        <v>0.1</v>
      </c>
      <c r="E98" s="1047">
        <v>9.7000000000000003E-2</v>
      </c>
      <c r="F98" s="1059"/>
    </row>
    <row r="99" spans="1:6" ht="14.25" thickBot="1">
      <c r="A99" s="823" t="s">
        <v>523</v>
      </c>
      <c r="B99" s="817" t="s">
        <v>416</v>
      </c>
      <c r="C99" s="1047">
        <v>0.1</v>
      </c>
      <c r="D99" s="1047">
        <v>0.1</v>
      </c>
      <c r="E99" s="1060"/>
      <c r="F99" s="1059"/>
    </row>
    <row r="100" spans="1:6" ht="14.25" thickBot="1">
      <c r="A100" s="823" t="s">
        <v>523</v>
      </c>
      <c r="B100" s="817" t="s">
        <v>423</v>
      </c>
      <c r="C100" s="1047">
        <v>0.09</v>
      </c>
      <c r="D100" s="1047">
        <v>8.8999999999999996E-2</v>
      </c>
      <c r="E100" s="1060"/>
      <c r="F100" s="1059"/>
    </row>
    <row r="101" spans="1:6" ht="14.25" thickBot="1">
      <c r="A101" s="823" t="s">
        <v>523</v>
      </c>
      <c r="B101" s="817" t="s">
        <v>430</v>
      </c>
      <c r="C101" s="1047">
        <v>9.8000000000000004E-2</v>
      </c>
      <c r="D101" s="1047">
        <v>9.7000000000000003E-2</v>
      </c>
      <c r="E101" s="1060"/>
      <c r="F101" s="1059"/>
    </row>
    <row r="102" spans="1:6" ht="14.25" thickBot="1">
      <c r="A102" s="823" t="s">
        <v>523</v>
      </c>
      <c r="B102" s="817" t="s">
        <v>886</v>
      </c>
      <c r="C102" s="1060"/>
      <c r="D102" s="1060"/>
      <c r="E102" s="1060"/>
      <c r="F102" s="1048">
        <v>0.05</v>
      </c>
    </row>
    <row r="103" spans="1:6" ht="24.75" thickBot="1">
      <c r="A103" s="823" t="s">
        <v>523</v>
      </c>
      <c r="B103" s="817" t="s">
        <v>887</v>
      </c>
      <c r="C103" s="1060"/>
      <c r="D103" s="1060"/>
      <c r="E103" s="1060"/>
      <c r="F103" s="1048">
        <v>0.05</v>
      </c>
    </row>
    <row r="104" spans="1:6" ht="14.25" thickBot="1">
      <c r="A104" s="823" t="s">
        <v>523</v>
      </c>
      <c r="B104" s="817" t="s">
        <v>888</v>
      </c>
      <c r="C104" s="1060"/>
      <c r="D104" s="1060"/>
      <c r="E104" s="1060"/>
      <c r="F104" s="1048">
        <v>0.05</v>
      </c>
    </row>
    <row r="105" spans="1:6" ht="14.25" thickBot="1">
      <c r="A105" s="823" t="s">
        <v>523</v>
      </c>
      <c r="B105" s="817" t="s">
        <v>889</v>
      </c>
      <c r="C105" s="1060"/>
      <c r="D105" s="1060"/>
      <c r="E105" s="1060"/>
      <c r="F105" s="1048">
        <v>0.05</v>
      </c>
    </row>
    <row r="106" spans="1:6" ht="14.25" thickBot="1">
      <c r="A106" s="823" t="s">
        <v>523</v>
      </c>
      <c r="B106" s="817" t="s">
        <v>890</v>
      </c>
      <c r="C106" s="1060"/>
      <c r="D106" s="1060"/>
      <c r="E106" s="1060"/>
      <c r="F106" s="1048">
        <v>0.05</v>
      </c>
    </row>
    <row r="107" spans="1:6" ht="24.75" thickBot="1">
      <c r="A107" s="823" t="s">
        <v>523</v>
      </c>
      <c r="B107" s="817" t="s">
        <v>891</v>
      </c>
      <c r="C107" s="1060"/>
      <c r="D107" s="1060"/>
      <c r="E107" s="1060"/>
      <c r="F107" s="1048">
        <v>0.05</v>
      </c>
    </row>
    <row r="108" spans="1:6" ht="24.75" thickBot="1">
      <c r="A108" s="823" t="s">
        <v>523</v>
      </c>
      <c r="B108" s="817" t="s">
        <v>892</v>
      </c>
      <c r="C108" s="1060"/>
      <c r="D108" s="1060"/>
      <c r="E108" s="1060"/>
      <c r="F108" s="1048">
        <v>0.05</v>
      </c>
    </row>
    <row r="109" spans="1:6" ht="24.75" thickBot="1">
      <c r="A109" s="833" t="s">
        <v>523</v>
      </c>
      <c r="B109" s="829" t="s">
        <v>893</v>
      </c>
      <c r="C109" s="1057"/>
      <c r="D109" s="1057"/>
      <c r="E109" s="1057"/>
      <c r="F109" s="1050">
        <v>0.05</v>
      </c>
    </row>
    <row r="110" spans="1:6" ht="14.25" thickBot="1">
      <c r="A110" s="823" t="s">
        <v>56</v>
      </c>
      <c r="B110" s="824" t="s">
        <v>894</v>
      </c>
      <c r="C110" s="1045">
        <v>0.129</v>
      </c>
      <c r="D110" s="1045">
        <v>0.129</v>
      </c>
      <c r="E110" s="1045">
        <v>0.126</v>
      </c>
      <c r="F110" s="1046">
        <v>0.13</v>
      </c>
    </row>
    <row r="111" spans="1:6" ht="14.25" thickBot="1">
      <c r="A111" s="823" t="s">
        <v>56</v>
      </c>
      <c r="B111" s="817" t="s">
        <v>192</v>
      </c>
      <c r="C111" s="1047">
        <v>0.11</v>
      </c>
      <c r="D111" s="1047">
        <v>0.11</v>
      </c>
      <c r="E111" s="1047">
        <v>9.9000000000000005E-2</v>
      </c>
      <c r="F111" s="1048">
        <v>0.128</v>
      </c>
    </row>
    <row r="112" spans="1:6" ht="14.25" thickBot="1">
      <c r="A112" s="823" t="s">
        <v>56</v>
      </c>
      <c r="B112" s="817" t="s">
        <v>205</v>
      </c>
      <c r="C112" s="1047">
        <v>0.125</v>
      </c>
      <c r="D112" s="1047">
        <v>0.125</v>
      </c>
      <c r="E112" s="1047">
        <v>0.12</v>
      </c>
      <c r="F112" s="1048">
        <v>0.125</v>
      </c>
    </row>
    <row r="113" spans="1:6" ht="14.25" thickBot="1">
      <c r="A113" s="823" t="s">
        <v>56</v>
      </c>
      <c r="B113" s="817" t="s">
        <v>218</v>
      </c>
      <c r="C113" s="1047">
        <v>0.13</v>
      </c>
      <c r="D113" s="1047">
        <v>0.13</v>
      </c>
      <c r="E113" s="1047">
        <v>0.13</v>
      </c>
      <c r="F113" s="1048">
        <v>0.13</v>
      </c>
    </row>
    <row r="114" spans="1:6" ht="14.25" thickBot="1">
      <c r="A114" s="823" t="s">
        <v>56</v>
      </c>
      <c r="B114" s="817" t="s">
        <v>230</v>
      </c>
      <c r="C114" s="1047">
        <v>0.123</v>
      </c>
      <c r="D114" s="1047">
        <v>0.123</v>
      </c>
      <c r="E114" s="1047">
        <v>0.12</v>
      </c>
      <c r="F114" s="1048">
        <v>0.13</v>
      </c>
    </row>
    <row r="115" spans="1:6" ht="14.25" thickBot="1">
      <c r="A115" s="823" t="s">
        <v>56</v>
      </c>
      <c r="B115" s="817" t="s">
        <v>241</v>
      </c>
      <c r="C115" s="1047">
        <v>0.125</v>
      </c>
      <c r="D115" s="1047">
        <v>0.125</v>
      </c>
      <c r="E115" s="1047">
        <v>0.11700000000000001</v>
      </c>
      <c r="F115" s="1048">
        <v>0.13</v>
      </c>
    </row>
    <row r="116" spans="1:6" ht="14.25" thickBot="1">
      <c r="A116" s="823" t="s">
        <v>56</v>
      </c>
      <c r="B116" s="817" t="s">
        <v>252</v>
      </c>
      <c r="C116" s="1047">
        <v>0.11700000000000001</v>
      </c>
      <c r="D116" s="1047">
        <v>0.11700000000000001</v>
      </c>
      <c r="E116" s="1047">
        <v>8.7999999999999995E-2</v>
      </c>
      <c r="F116" s="1048">
        <v>0.13</v>
      </c>
    </row>
    <row r="117" spans="1:6" ht="14.25" thickBot="1">
      <c r="A117" s="823" t="s">
        <v>56</v>
      </c>
      <c r="B117" s="817" t="s">
        <v>263</v>
      </c>
      <c r="C117" s="1047">
        <v>0.13</v>
      </c>
      <c r="D117" s="1047">
        <v>0.13</v>
      </c>
      <c r="E117" s="1047">
        <v>0.129</v>
      </c>
      <c r="F117" s="1048">
        <v>0.13</v>
      </c>
    </row>
    <row r="118" spans="1:6" ht="14.25" thickBot="1">
      <c r="A118" s="823" t="s">
        <v>56</v>
      </c>
      <c r="B118" s="817" t="s">
        <v>275</v>
      </c>
      <c r="C118" s="1047">
        <v>0.123</v>
      </c>
      <c r="D118" s="1047">
        <v>0.123</v>
      </c>
      <c r="E118" s="1047">
        <v>0.11600000000000001</v>
      </c>
      <c r="F118" s="1048">
        <v>0.13</v>
      </c>
    </row>
    <row r="119" spans="1:6" ht="14.25" thickBot="1">
      <c r="A119" s="823" t="s">
        <v>56</v>
      </c>
      <c r="B119" s="817" t="s">
        <v>285</v>
      </c>
      <c r="C119" s="1047">
        <v>0.127</v>
      </c>
      <c r="D119" s="1047">
        <v>0.127</v>
      </c>
      <c r="E119" s="1047">
        <v>0.124</v>
      </c>
      <c r="F119" s="1048">
        <v>0.13</v>
      </c>
    </row>
    <row r="120" spans="1:6" ht="14.25" thickBot="1">
      <c r="A120" s="823" t="s">
        <v>56</v>
      </c>
      <c r="B120" s="817" t="s">
        <v>295</v>
      </c>
      <c r="C120" s="1047">
        <v>0.125</v>
      </c>
      <c r="D120" s="1047">
        <v>0.125</v>
      </c>
      <c r="E120" s="1047">
        <v>0.122</v>
      </c>
      <c r="F120" s="1048">
        <v>0.13</v>
      </c>
    </row>
    <row r="121" spans="1:6" ht="14.25" thickBot="1">
      <c r="A121" s="823" t="s">
        <v>56</v>
      </c>
      <c r="B121" s="817" t="s">
        <v>305</v>
      </c>
      <c r="C121" s="1047">
        <v>0.13</v>
      </c>
      <c r="D121" s="1047">
        <v>0.13</v>
      </c>
      <c r="E121" s="1047">
        <v>0.13</v>
      </c>
      <c r="F121" s="1048">
        <v>0.13</v>
      </c>
    </row>
    <row r="122" spans="1:6" ht="14.25" thickBot="1">
      <c r="A122" s="823" t="s">
        <v>56</v>
      </c>
      <c r="B122" s="817" t="s">
        <v>315</v>
      </c>
      <c r="C122" s="1047">
        <v>0.13</v>
      </c>
      <c r="D122" s="1047">
        <v>0.13</v>
      </c>
      <c r="E122" s="1047">
        <v>0.125</v>
      </c>
      <c r="F122" s="1048">
        <v>0.13</v>
      </c>
    </row>
    <row r="123" spans="1:6" ht="14.25" thickBot="1">
      <c r="A123" s="823" t="s">
        <v>56</v>
      </c>
      <c r="B123" s="817" t="s">
        <v>326</v>
      </c>
      <c r="C123" s="1047">
        <v>0.129</v>
      </c>
      <c r="D123" s="1047">
        <v>0.129</v>
      </c>
      <c r="E123" s="1047">
        <v>0.123</v>
      </c>
      <c r="F123" s="1048">
        <v>0.13</v>
      </c>
    </row>
    <row r="124" spans="1:6" ht="14.25" thickBot="1">
      <c r="A124" s="823" t="s">
        <v>56</v>
      </c>
      <c r="B124" s="817" t="s">
        <v>337</v>
      </c>
      <c r="C124" s="1047">
        <v>0.10199999999999999</v>
      </c>
      <c r="D124" s="1047">
        <v>0.10100000000000001</v>
      </c>
      <c r="E124" s="1047">
        <v>0.08</v>
      </c>
      <c r="F124" s="1059"/>
    </row>
    <row r="125" spans="1:6" ht="14.25" thickBot="1">
      <c r="A125" s="823" t="s">
        <v>56</v>
      </c>
      <c r="B125" s="817" t="s">
        <v>347</v>
      </c>
      <c r="C125" s="1047">
        <v>0.13</v>
      </c>
      <c r="D125" s="1047">
        <v>0.13</v>
      </c>
      <c r="E125" s="1047">
        <v>0.129</v>
      </c>
      <c r="F125" s="1059"/>
    </row>
    <row r="126" spans="1:6" ht="14.25" thickBot="1">
      <c r="A126" s="823" t="s">
        <v>56</v>
      </c>
      <c r="B126" s="817" t="s">
        <v>357</v>
      </c>
      <c r="C126" s="1047">
        <v>0.13</v>
      </c>
      <c r="D126" s="1047">
        <v>0.13</v>
      </c>
      <c r="E126" s="1047">
        <v>0.126</v>
      </c>
      <c r="F126" s="1059"/>
    </row>
    <row r="127" spans="1:6" ht="14.25" thickBot="1">
      <c r="A127" s="823" t="s">
        <v>56</v>
      </c>
      <c r="B127" s="817" t="s">
        <v>367</v>
      </c>
      <c r="C127" s="1047">
        <v>0.125</v>
      </c>
      <c r="D127" s="1047">
        <v>0.125</v>
      </c>
      <c r="E127" s="1047">
        <v>0.121</v>
      </c>
      <c r="F127" s="1059"/>
    </row>
    <row r="128" spans="1:6" ht="14.25" thickBot="1">
      <c r="A128" s="823" t="s">
        <v>56</v>
      </c>
      <c r="B128" s="817" t="s">
        <v>377</v>
      </c>
      <c r="C128" s="1047">
        <v>0.12</v>
      </c>
      <c r="D128" s="1047">
        <v>0.12</v>
      </c>
      <c r="E128" s="1047">
        <v>0.105</v>
      </c>
      <c r="F128" s="1059"/>
    </row>
    <row r="129" spans="1:6" ht="14.25" thickBot="1">
      <c r="A129" s="823" t="s">
        <v>56</v>
      </c>
      <c r="B129" s="817" t="s">
        <v>386</v>
      </c>
      <c r="C129" s="1047">
        <v>0.13</v>
      </c>
      <c r="D129" s="1047">
        <v>0.13</v>
      </c>
      <c r="E129" s="1047">
        <v>0.126</v>
      </c>
      <c r="F129" s="1059"/>
    </row>
    <row r="130" spans="1:6" ht="14.25" thickBot="1">
      <c r="A130" s="823" t="s">
        <v>56</v>
      </c>
      <c r="B130" s="817" t="s">
        <v>395</v>
      </c>
      <c r="C130" s="1047">
        <v>0.125</v>
      </c>
      <c r="D130" s="1047">
        <v>0.125</v>
      </c>
      <c r="E130" s="1047">
        <v>0.122</v>
      </c>
      <c r="F130" s="1059"/>
    </row>
    <row r="131" spans="1:6" ht="14.25" thickBot="1">
      <c r="A131" s="823" t="s">
        <v>56</v>
      </c>
      <c r="B131" s="817" t="s">
        <v>403</v>
      </c>
      <c r="C131" s="1047">
        <v>0.127</v>
      </c>
      <c r="D131" s="1047">
        <v>0.126</v>
      </c>
      <c r="E131" s="1047">
        <v>0.123</v>
      </c>
      <c r="F131" s="1059"/>
    </row>
    <row r="132" spans="1:6" ht="14.25" thickBot="1">
      <c r="A132" s="823" t="s">
        <v>56</v>
      </c>
      <c r="B132" s="817" t="s">
        <v>410</v>
      </c>
      <c r="C132" s="1047">
        <v>9.0999999999999998E-2</v>
      </c>
      <c r="D132" s="1047">
        <v>0.121</v>
      </c>
      <c r="E132" s="1047">
        <v>9.9000000000000005E-2</v>
      </c>
      <c r="F132" s="1059"/>
    </row>
    <row r="133" spans="1:6" ht="14.25" thickBot="1">
      <c r="A133" s="823" t="s">
        <v>56</v>
      </c>
      <c r="B133" s="817" t="s">
        <v>417</v>
      </c>
      <c r="C133" s="1047">
        <v>0.13</v>
      </c>
      <c r="D133" s="1047">
        <v>0.13</v>
      </c>
      <c r="E133" s="1047">
        <v>0.129</v>
      </c>
      <c r="F133" s="1059"/>
    </row>
    <row r="134" spans="1:6" ht="14.25" thickBot="1">
      <c r="A134" s="823" t="s">
        <v>56</v>
      </c>
      <c r="B134" s="817" t="s">
        <v>895</v>
      </c>
      <c r="C134" s="1047">
        <v>6.8000000000000005E-2</v>
      </c>
      <c r="D134" s="1047">
        <v>6.5000000000000002E-2</v>
      </c>
      <c r="E134" s="1047">
        <v>6.5000000000000002E-2</v>
      </c>
      <c r="F134" s="1048">
        <v>0.13</v>
      </c>
    </row>
    <row r="135" spans="1:6" ht="14.25" thickBot="1">
      <c r="A135" s="823" t="s">
        <v>56</v>
      </c>
      <c r="B135" s="817" t="s">
        <v>431</v>
      </c>
      <c r="C135" s="1047">
        <v>0.123</v>
      </c>
      <c r="D135" s="1047">
        <v>0.123</v>
      </c>
      <c r="E135" s="1047">
        <v>0.11</v>
      </c>
      <c r="F135" s="1059"/>
    </row>
    <row r="136" spans="1:6" ht="14.25" thickBot="1">
      <c r="A136" s="823" t="s">
        <v>56</v>
      </c>
      <c r="B136" s="817" t="s">
        <v>438</v>
      </c>
      <c r="C136" s="1047">
        <v>0.13</v>
      </c>
      <c r="D136" s="1047">
        <v>0.13</v>
      </c>
      <c r="E136" s="1047">
        <v>0.125</v>
      </c>
      <c r="F136" s="1059"/>
    </row>
    <row r="137" spans="1:6" ht="14.25" thickBot="1">
      <c r="A137" s="823" t="s">
        <v>56</v>
      </c>
      <c r="B137" s="817" t="s">
        <v>445</v>
      </c>
      <c r="C137" s="1047">
        <v>0.121</v>
      </c>
      <c r="D137" s="1047">
        <v>0.122</v>
      </c>
      <c r="E137" s="1047">
        <v>0.115</v>
      </c>
      <c r="F137" s="1059"/>
    </row>
    <row r="138" spans="1:6" ht="14.25" thickBot="1">
      <c r="A138" s="823" t="s">
        <v>56</v>
      </c>
      <c r="B138" s="817" t="s">
        <v>896</v>
      </c>
      <c r="C138" s="1047">
        <v>0.105</v>
      </c>
      <c r="D138" s="1047">
        <v>0.125</v>
      </c>
      <c r="E138" s="1047">
        <v>0.112</v>
      </c>
      <c r="F138" s="1059"/>
    </row>
    <row r="139" spans="1:6" ht="14.25" thickBot="1">
      <c r="A139" s="823" t="s">
        <v>56</v>
      </c>
      <c r="B139" s="817" t="s">
        <v>897</v>
      </c>
      <c r="C139" s="1047">
        <v>0.127</v>
      </c>
      <c r="D139" s="1047">
        <v>0.127</v>
      </c>
      <c r="E139" s="1047">
        <v>0.122</v>
      </c>
      <c r="F139" s="1048">
        <v>0.13</v>
      </c>
    </row>
    <row r="140" spans="1:6" ht="14.25" thickBot="1">
      <c r="A140" s="823" t="s">
        <v>56</v>
      </c>
      <c r="B140" s="817" t="s">
        <v>898</v>
      </c>
      <c r="C140" s="1047">
        <v>0.125</v>
      </c>
      <c r="D140" s="1047">
        <v>0.125</v>
      </c>
      <c r="E140" s="1047">
        <v>0.11899999999999999</v>
      </c>
      <c r="F140" s="1048">
        <v>0.13</v>
      </c>
    </row>
    <row r="141" spans="1:6" ht="14.25" thickBot="1">
      <c r="A141" s="823" t="s">
        <v>56</v>
      </c>
      <c r="B141" s="817" t="s">
        <v>464</v>
      </c>
      <c r="C141" s="1047">
        <v>0.125</v>
      </c>
      <c r="D141" s="1047">
        <v>0.125</v>
      </c>
      <c r="E141" s="1047">
        <v>0.11700000000000001</v>
      </c>
      <c r="F141" s="1059"/>
    </row>
    <row r="142" spans="1:6" ht="14.25" thickBot="1">
      <c r="A142" s="823" t="s">
        <v>56</v>
      </c>
      <c r="B142" s="817" t="s">
        <v>469</v>
      </c>
      <c r="C142" s="1047">
        <v>0.125</v>
      </c>
      <c r="D142" s="1047">
        <v>0.125</v>
      </c>
      <c r="E142" s="1047">
        <v>0.115</v>
      </c>
      <c r="F142" s="1059"/>
    </row>
    <row r="143" spans="1:6" ht="14.25" thickBot="1">
      <c r="A143" s="823" t="s">
        <v>56</v>
      </c>
      <c r="B143" s="817" t="s">
        <v>474</v>
      </c>
      <c r="C143" s="1047">
        <v>0.121</v>
      </c>
      <c r="D143" s="1047">
        <v>0.121</v>
      </c>
      <c r="E143" s="1047">
        <v>0.108</v>
      </c>
      <c r="F143" s="1059"/>
    </row>
    <row r="144" spans="1:6" ht="14.25" thickBot="1">
      <c r="A144" s="823" t="s">
        <v>56</v>
      </c>
      <c r="B144" s="1051" t="s">
        <v>899</v>
      </c>
      <c r="C144" s="1052">
        <v>0.126</v>
      </c>
      <c r="D144" s="1052">
        <v>0.126</v>
      </c>
      <c r="E144" s="1052">
        <v>0.121</v>
      </c>
      <c r="F144" s="1059"/>
    </row>
    <row r="145" spans="1:6" ht="14.25" thickBot="1">
      <c r="A145" s="833" t="s">
        <v>56</v>
      </c>
      <c r="B145" s="1053" t="s">
        <v>900</v>
      </c>
      <c r="C145" s="1061"/>
      <c r="D145" s="1061"/>
      <c r="E145" s="1061"/>
      <c r="F145" s="1054">
        <v>0.05</v>
      </c>
    </row>
    <row r="146" spans="1:6" ht="24.75" thickBot="1">
      <c r="A146" s="1055" t="s">
        <v>56</v>
      </c>
      <c r="B146" s="827" t="s">
        <v>901</v>
      </c>
      <c r="C146" s="1060"/>
      <c r="D146" s="1060"/>
      <c r="E146" s="1060"/>
      <c r="F146" s="1056">
        <v>0.05</v>
      </c>
    </row>
    <row r="147" spans="1:6" ht="24.75" thickBot="1">
      <c r="A147" s="823" t="s">
        <v>56</v>
      </c>
      <c r="B147" s="817" t="s">
        <v>902</v>
      </c>
      <c r="C147" s="1060"/>
      <c r="D147" s="1060"/>
      <c r="E147" s="1060"/>
      <c r="F147" s="1048">
        <v>0.05</v>
      </c>
    </row>
    <row r="148" spans="1:6" ht="24.75" thickBot="1">
      <c r="A148" s="823" t="s">
        <v>56</v>
      </c>
      <c r="B148" s="817" t="s">
        <v>903</v>
      </c>
      <c r="C148" s="1060"/>
      <c r="D148" s="1060"/>
      <c r="E148" s="1060"/>
      <c r="F148" s="1048">
        <v>0.05</v>
      </c>
    </row>
    <row r="149" spans="1:6" ht="24.75" thickBot="1">
      <c r="A149" s="823" t="s">
        <v>56</v>
      </c>
      <c r="B149" s="817" t="s">
        <v>904</v>
      </c>
      <c r="C149" s="1060"/>
      <c r="D149" s="1060"/>
      <c r="E149" s="1060"/>
      <c r="F149" s="1048">
        <v>0.05</v>
      </c>
    </row>
    <row r="150" spans="1:6" ht="24.75" thickBot="1">
      <c r="A150" s="823" t="s">
        <v>56</v>
      </c>
      <c r="B150" s="817" t="s">
        <v>905</v>
      </c>
      <c r="C150" s="1060"/>
      <c r="D150" s="1060"/>
      <c r="E150" s="1060"/>
      <c r="F150" s="1048">
        <v>0.05</v>
      </c>
    </row>
    <row r="151" spans="1:6" ht="24.75" thickBot="1">
      <c r="A151" s="823" t="s">
        <v>56</v>
      </c>
      <c r="B151" s="817" t="s">
        <v>906</v>
      </c>
      <c r="C151" s="1060"/>
      <c r="D151" s="1060"/>
      <c r="E151" s="1060"/>
      <c r="F151" s="1048">
        <v>0.05</v>
      </c>
    </row>
    <row r="152" spans="1:6" ht="24.75" thickBot="1">
      <c r="A152" s="823" t="s">
        <v>56</v>
      </c>
      <c r="B152" s="817" t="s">
        <v>507</v>
      </c>
      <c r="C152" s="1060"/>
      <c r="D152" s="1060"/>
      <c r="E152" s="1060"/>
      <c r="F152" s="1048">
        <v>0.05</v>
      </c>
    </row>
    <row r="153" spans="1:6" ht="14.25" thickBot="1">
      <c r="A153" s="823" t="s">
        <v>56</v>
      </c>
      <c r="B153" s="817" t="s">
        <v>907</v>
      </c>
      <c r="C153" s="1060"/>
      <c r="D153" s="1060"/>
      <c r="E153" s="1060"/>
      <c r="F153" s="1048">
        <v>0.05</v>
      </c>
    </row>
    <row r="154" spans="1:6" ht="14.25" thickBot="1">
      <c r="A154" s="823" t="s">
        <v>56</v>
      </c>
      <c r="B154" s="817" t="s">
        <v>908</v>
      </c>
      <c r="C154" s="1060"/>
      <c r="D154" s="1060"/>
      <c r="E154" s="1060"/>
      <c r="F154" s="1048">
        <v>0.05</v>
      </c>
    </row>
    <row r="155" spans="1:6" ht="24.75" thickBot="1">
      <c r="A155" s="823" t="s">
        <v>56</v>
      </c>
      <c r="B155" s="817" t="s">
        <v>909</v>
      </c>
      <c r="C155" s="1060"/>
      <c r="D155" s="1060"/>
      <c r="E155" s="1060"/>
      <c r="F155" s="1048">
        <v>0.05</v>
      </c>
    </row>
    <row r="156" spans="1:6" ht="24.75" thickBot="1">
      <c r="A156" s="823" t="s">
        <v>56</v>
      </c>
      <c r="B156" s="817" t="s">
        <v>910</v>
      </c>
      <c r="C156" s="1060"/>
      <c r="D156" s="1060"/>
      <c r="E156" s="1060"/>
      <c r="F156" s="1048">
        <v>0.05</v>
      </c>
    </row>
    <row r="157" spans="1:6" ht="14.25" thickBot="1">
      <c r="A157" s="833" t="s">
        <v>56</v>
      </c>
      <c r="B157" s="829" t="s">
        <v>911</v>
      </c>
      <c r="C157" s="1057"/>
      <c r="D157" s="1057"/>
      <c r="E157" s="1057"/>
      <c r="F157" s="1050">
        <v>0.05</v>
      </c>
    </row>
    <row r="158" spans="1:6" ht="14.25" thickBot="1">
      <c r="A158" s="823" t="s">
        <v>526</v>
      </c>
      <c r="B158" s="824" t="s">
        <v>912</v>
      </c>
      <c r="C158" s="1045">
        <v>0.13</v>
      </c>
      <c r="D158" s="1045">
        <v>0.13</v>
      </c>
      <c r="E158" s="1045">
        <v>0.13</v>
      </c>
      <c r="F158" s="1046">
        <v>0.13</v>
      </c>
    </row>
    <row r="159" spans="1:6" ht="14.25" thickBot="1">
      <c r="A159" s="823" t="s">
        <v>526</v>
      </c>
      <c r="B159" s="817" t="s">
        <v>193</v>
      </c>
      <c r="C159" s="1047">
        <v>0.13</v>
      </c>
      <c r="D159" s="1047">
        <v>0.13</v>
      </c>
      <c r="E159" s="1047">
        <v>0.13</v>
      </c>
      <c r="F159" s="1048">
        <v>0.13</v>
      </c>
    </row>
    <row r="160" spans="1:6" ht="14.25" thickBot="1">
      <c r="A160" s="823" t="s">
        <v>526</v>
      </c>
      <c r="B160" s="817" t="s">
        <v>206</v>
      </c>
      <c r="C160" s="1047">
        <v>0.13</v>
      </c>
      <c r="D160" s="1047">
        <v>0.13</v>
      </c>
      <c r="E160" s="1047">
        <v>0.129</v>
      </c>
      <c r="F160" s="1048">
        <v>0.13</v>
      </c>
    </row>
    <row r="161" spans="1:6" ht="14.25" thickBot="1">
      <c r="A161" s="823" t="s">
        <v>526</v>
      </c>
      <c r="B161" s="817" t="s">
        <v>219</v>
      </c>
      <c r="C161" s="1047">
        <v>0.128</v>
      </c>
      <c r="D161" s="1047">
        <v>0.128</v>
      </c>
      <c r="E161" s="1047">
        <v>0.125</v>
      </c>
      <c r="F161" s="1048">
        <v>0.13</v>
      </c>
    </row>
    <row r="162" spans="1:6" ht="14.25" thickBot="1">
      <c r="A162" s="823" t="s">
        <v>526</v>
      </c>
      <c r="B162" s="817" t="s">
        <v>231</v>
      </c>
      <c r="C162" s="1047">
        <v>0.122</v>
      </c>
      <c r="D162" s="1047">
        <v>0.122</v>
      </c>
      <c r="E162" s="1047">
        <v>0.126</v>
      </c>
      <c r="F162" s="1048">
        <v>0.122</v>
      </c>
    </row>
    <row r="163" spans="1:6" ht="14.25" thickBot="1">
      <c r="A163" s="823" t="s">
        <v>526</v>
      </c>
      <c r="B163" s="817" t="s">
        <v>242</v>
      </c>
      <c r="C163" s="1047">
        <v>0.13</v>
      </c>
      <c r="D163" s="1047">
        <v>0.13</v>
      </c>
      <c r="E163" s="1047">
        <v>0.125</v>
      </c>
      <c r="F163" s="1048">
        <v>0.13</v>
      </c>
    </row>
    <row r="164" spans="1:6" ht="14.25" thickBot="1">
      <c r="A164" s="823" t="s">
        <v>526</v>
      </c>
      <c r="B164" s="817" t="s">
        <v>253</v>
      </c>
      <c r="C164" s="1047">
        <v>0.13</v>
      </c>
      <c r="D164" s="1047">
        <v>0.13</v>
      </c>
      <c r="E164" s="1047">
        <v>0.13</v>
      </c>
      <c r="F164" s="1048">
        <v>0.13</v>
      </c>
    </row>
    <row r="165" spans="1:6" ht="14.25" thickBot="1">
      <c r="A165" s="823" t="s">
        <v>526</v>
      </c>
      <c r="B165" s="817" t="s">
        <v>264</v>
      </c>
      <c r="C165" s="1047">
        <v>0.13</v>
      </c>
      <c r="D165" s="1047">
        <v>0.13</v>
      </c>
      <c r="E165" s="1047">
        <v>0.124</v>
      </c>
      <c r="F165" s="1048">
        <v>0.13</v>
      </c>
    </row>
    <row r="166" spans="1:6" ht="14.25" thickBot="1">
      <c r="A166" s="823" t="s">
        <v>526</v>
      </c>
      <c r="B166" s="817" t="s">
        <v>276</v>
      </c>
      <c r="C166" s="1047">
        <v>0.13</v>
      </c>
      <c r="D166" s="1047">
        <v>0.13</v>
      </c>
      <c r="E166" s="1047">
        <v>0.13</v>
      </c>
      <c r="F166" s="1048">
        <v>0.13</v>
      </c>
    </row>
    <row r="167" spans="1:6" ht="14.25" thickBot="1">
      <c r="A167" s="823" t="s">
        <v>526</v>
      </c>
      <c r="B167" s="817" t="s">
        <v>286</v>
      </c>
      <c r="C167" s="1047">
        <v>0.125</v>
      </c>
      <c r="D167" s="1047">
        <v>0.125</v>
      </c>
      <c r="E167" s="1047">
        <v>0.121</v>
      </c>
      <c r="F167" s="1059"/>
    </row>
    <row r="168" spans="1:6" ht="14.25" thickBot="1">
      <c r="A168" s="823" t="s">
        <v>526</v>
      </c>
      <c r="B168" s="817" t="s">
        <v>296</v>
      </c>
      <c r="C168" s="1047">
        <v>0.13</v>
      </c>
      <c r="D168" s="1047">
        <v>0.13</v>
      </c>
      <c r="E168" s="1047">
        <v>0.126</v>
      </c>
      <c r="F168" s="1059"/>
    </row>
    <row r="169" spans="1:6" ht="14.25" thickBot="1">
      <c r="A169" s="823" t="s">
        <v>526</v>
      </c>
      <c r="B169" s="817" t="s">
        <v>306</v>
      </c>
      <c r="C169" s="1047">
        <v>0.128</v>
      </c>
      <c r="D169" s="1047">
        <v>0.129</v>
      </c>
      <c r="E169" s="1047">
        <v>0.13</v>
      </c>
      <c r="F169" s="1059"/>
    </row>
    <row r="170" spans="1:6" ht="14.25" thickBot="1">
      <c r="A170" s="823" t="s">
        <v>526</v>
      </c>
      <c r="B170" s="817" t="s">
        <v>316</v>
      </c>
      <c r="C170" s="1047">
        <v>0.14099999999999999</v>
      </c>
      <c r="D170" s="1047">
        <v>0.13</v>
      </c>
      <c r="E170" s="1047">
        <v>0.125</v>
      </c>
      <c r="F170" s="1059"/>
    </row>
    <row r="171" spans="1:6" ht="14.25" thickBot="1">
      <c r="A171" s="823" t="s">
        <v>526</v>
      </c>
      <c r="B171" s="817" t="s">
        <v>913</v>
      </c>
      <c r="C171" s="1047">
        <v>0.127</v>
      </c>
      <c r="D171" s="1047">
        <v>0.126</v>
      </c>
      <c r="E171" s="1047">
        <v>0.126</v>
      </c>
      <c r="F171" s="1048">
        <v>0.11799999999999999</v>
      </c>
    </row>
    <row r="172" spans="1:6" ht="14.25" thickBot="1">
      <c r="A172" s="823" t="s">
        <v>526</v>
      </c>
      <c r="B172" s="817" t="s">
        <v>914</v>
      </c>
      <c r="C172" s="1047">
        <v>0.13</v>
      </c>
      <c r="D172" s="1047">
        <v>0.13</v>
      </c>
      <c r="E172" s="1047">
        <v>0.13</v>
      </c>
      <c r="F172" s="1059"/>
    </row>
    <row r="173" spans="1:6" ht="14.25" thickBot="1">
      <c r="A173" s="823" t="s">
        <v>526</v>
      </c>
      <c r="B173" s="817" t="s">
        <v>348</v>
      </c>
      <c r="C173" s="1047">
        <v>0.13</v>
      </c>
      <c r="D173" s="1047">
        <v>0.13</v>
      </c>
      <c r="E173" s="1047">
        <v>0.13</v>
      </c>
      <c r="F173" s="1059"/>
    </row>
    <row r="174" spans="1:6" ht="14.25" thickBot="1">
      <c r="A174" s="823" t="s">
        <v>526</v>
      </c>
      <c r="B174" s="817" t="s">
        <v>915</v>
      </c>
      <c r="C174" s="1047">
        <v>0.13</v>
      </c>
      <c r="D174" s="1047">
        <v>0.13</v>
      </c>
      <c r="E174" s="1047">
        <v>0.13</v>
      </c>
      <c r="F174" s="1048">
        <v>0.13</v>
      </c>
    </row>
    <row r="175" spans="1:6" ht="14.25" thickBot="1">
      <c r="A175" s="823" t="s">
        <v>526</v>
      </c>
      <c r="B175" s="817" t="s">
        <v>916</v>
      </c>
      <c r="C175" s="1047">
        <v>0.13</v>
      </c>
      <c r="D175" s="1047">
        <v>0.13</v>
      </c>
      <c r="E175" s="1047">
        <v>0.13</v>
      </c>
      <c r="F175" s="1048">
        <v>0.13</v>
      </c>
    </row>
    <row r="176" spans="1:6" ht="14.25" thickBot="1">
      <c r="A176" s="823" t="s">
        <v>526</v>
      </c>
      <c r="B176" s="817" t="s">
        <v>378</v>
      </c>
      <c r="C176" s="1047">
        <v>0.13</v>
      </c>
      <c r="D176" s="1047">
        <v>0.13</v>
      </c>
      <c r="E176" s="1047">
        <v>0.13</v>
      </c>
      <c r="F176" s="1048">
        <v>0.13</v>
      </c>
    </row>
    <row r="177" spans="1:6" ht="14.25" thickBot="1">
      <c r="A177" s="823" t="s">
        <v>526</v>
      </c>
      <c r="B177" s="817" t="s">
        <v>917</v>
      </c>
      <c r="C177" s="1047">
        <v>0.13</v>
      </c>
      <c r="D177" s="1047">
        <v>0.13</v>
      </c>
      <c r="E177" s="1047">
        <v>0.13</v>
      </c>
      <c r="F177" s="1048">
        <v>0.13</v>
      </c>
    </row>
    <row r="178" spans="1:6" ht="14.25" thickBot="1">
      <c r="A178" s="823" t="s">
        <v>526</v>
      </c>
      <c r="B178" s="817" t="s">
        <v>396</v>
      </c>
      <c r="C178" s="1047">
        <v>0.13</v>
      </c>
      <c r="D178" s="1047">
        <v>0.13</v>
      </c>
      <c r="E178" s="1047">
        <v>0.13</v>
      </c>
      <c r="F178" s="1048">
        <v>0.127</v>
      </c>
    </row>
    <row r="179" spans="1:6" ht="14.25" thickBot="1">
      <c r="A179" s="823" t="s">
        <v>526</v>
      </c>
      <c r="B179" s="817" t="s">
        <v>404</v>
      </c>
      <c r="C179" s="1047">
        <v>0.13</v>
      </c>
      <c r="D179" s="1047">
        <v>0.13</v>
      </c>
      <c r="E179" s="1047">
        <v>0.13</v>
      </c>
      <c r="F179" s="1059"/>
    </row>
    <row r="180" spans="1:6" ht="14.25" thickBot="1">
      <c r="A180" s="823" t="s">
        <v>526</v>
      </c>
      <c r="B180" s="817" t="s">
        <v>918</v>
      </c>
      <c r="C180" s="1047">
        <v>0.13</v>
      </c>
      <c r="D180" s="1047">
        <v>0.13</v>
      </c>
      <c r="E180" s="1047">
        <v>0.125</v>
      </c>
      <c r="F180" s="1048">
        <v>0.13</v>
      </c>
    </row>
    <row r="181" spans="1:6" ht="14.25" thickBot="1">
      <c r="A181" s="823" t="s">
        <v>526</v>
      </c>
      <c r="B181" s="817" t="s">
        <v>418</v>
      </c>
      <c r="C181" s="1047">
        <v>0.122</v>
      </c>
      <c r="D181" s="1047">
        <v>0.123</v>
      </c>
      <c r="E181" s="1047">
        <v>0.126</v>
      </c>
      <c r="F181" s="1048">
        <v>0.121</v>
      </c>
    </row>
    <row r="182" spans="1:6" ht="14.25" thickBot="1">
      <c r="A182" s="823" t="s">
        <v>526</v>
      </c>
      <c r="B182" s="817" t="s">
        <v>425</v>
      </c>
      <c r="C182" s="1047">
        <v>0.125</v>
      </c>
      <c r="D182" s="1047">
        <v>0.125</v>
      </c>
      <c r="E182" s="1047">
        <v>0.11700000000000001</v>
      </c>
      <c r="F182" s="1048">
        <v>0.13</v>
      </c>
    </row>
    <row r="183" spans="1:6" ht="14.25" thickBot="1">
      <c r="A183" s="823" t="s">
        <v>526</v>
      </c>
      <c r="B183" s="817" t="s">
        <v>432</v>
      </c>
      <c r="C183" s="1047">
        <v>0.127</v>
      </c>
      <c r="D183" s="1047">
        <v>0.127</v>
      </c>
      <c r="E183" s="1047">
        <v>0.128</v>
      </c>
      <c r="F183" s="1059"/>
    </row>
    <row r="184" spans="1:6" ht="14.25" thickBot="1">
      <c r="A184" s="823" t="s">
        <v>526</v>
      </c>
      <c r="B184" s="817" t="s">
        <v>439</v>
      </c>
      <c r="C184" s="1047">
        <v>0.125</v>
      </c>
      <c r="D184" s="1047">
        <v>0.125</v>
      </c>
      <c r="E184" s="1047">
        <v>0.127</v>
      </c>
      <c r="F184" s="1059"/>
    </row>
    <row r="185" spans="1:6" ht="14.25" thickBot="1">
      <c r="A185" s="823" t="s">
        <v>526</v>
      </c>
      <c r="B185" s="817" t="s">
        <v>919</v>
      </c>
      <c r="C185" s="1047">
        <v>0.127</v>
      </c>
      <c r="D185" s="1047">
        <v>0.127</v>
      </c>
      <c r="E185" s="1047">
        <v>0.128</v>
      </c>
      <c r="F185" s="1048">
        <v>0.13</v>
      </c>
    </row>
    <row r="186" spans="1:6" ht="24.75" thickBot="1">
      <c r="A186" s="823" t="s">
        <v>526</v>
      </c>
      <c r="B186" s="817" t="s">
        <v>920</v>
      </c>
      <c r="C186" s="1060"/>
      <c r="D186" s="1060"/>
      <c r="E186" s="1060"/>
      <c r="F186" s="1048">
        <v>0.05</v>
      </c>
    </row>
    <row r="187" spans="1:6" ht="14.25" thickBot="1">
      <c r="A187" s="823" t="s">
        <v>526</v>
      </c>
      <c r="B187" s="817" t="s">
        <v>921</v>
      </c>
      <c r="C187" s="1060"/>
      <c r="D187" s="1060"/>
      <c r="E187" s="1060"/>
      <c r="F187" s="1048">
        <v>0.05</v>
      </c>
    </row>
    <row r="188" spans="1:6" ht="14.25" thickBot="1">
      <c r="A188" s="823" t="s">
        <v>526</v>
      </c>
      <c r="B188" s="817" t="s">
        <v>922</v>
      </c>
      <c r="C188" s="1060"/>
      <c r="D188" s="1060"/>
      <c r="E188" s="1060"/>
      <c r="F188" s="1048">
        <v>0.05</v>
      </c>
    </row>
    <row r="189" spans="1:6" ht="24.75" thickBot="1">
      <c r="A189" s="823" t="s">
        <v>526</v>
      </c>
      <c r="B189" s="817" t="s">
        <v>923</v>
      </c>
      <c r="C189" s="1060"/>
      <c r="D189" s="1060"/>
      <c r="E189" s="1060"/>
      <c r="F189" s="1048">
        <v>0.05</v>
      </c>
    </row>
    <row r="190" spans="1:6" ht="24.75" thickBot="1">
      <c r="A190" s="823" t="s">
        <v>526</v>
      </c>
      <c r="B190" s="817" t="s">
        <v>924</v>
      </c>
      <c r="C190" s="1060"/>
      <c r="D190" s="1060"/>
      <c r="E190" s="1060"/>
      <c r="F190" s="1048">
        <v>0.05</v>
      </c>
    </row>
    <row r="191" spans="1:6" ht="24.75" thickBot="1">
      <c r="A191" s="823" t="s">
        <v>526</v>
      </c>
      <c r="B191" s="817" t="s">
        <v>925</v>
      </c>
      <c r="C191" s="1060"/>
      <c r="D191" s="1060"/>
      <c r="E191" s="1060"/>
      <c r="F191" s="1048">
        <v>0.05</v>
      </c>
    </row>
    <row r="192" spans="1:6" ht="24.75" thickBot="1">
      <c r="A192" s="823" t="s">
        <v>526</v>
      </c>
      <c r="B192" s="817" t="s">
        <v>926</v>
      </c>
      <c r="C192" s="1060"/>
      <c r="D192" s="1060"/>
      <c r="E192" s="1060"/>
      <c r="F192" s="1048">
        <v>0.05</v>
      </c>
    </row>
    <row r="193" spans="1:6" ht="24.75" thickBot="1">
      <c r="A193" s="823" t="s">
        <v>526</v>
      </c>
      <c r="B193" s="817" t="s">
        <v>927</v>
      </c>
      <c r="C193" s="1060"/>
      <c r="D193" s="1060"/>
      <c r="E193" s="1060"/>
      <c r="F193" s="1048">
        <v>0.05</v>
      </c>
    </row>
    <row r="194" spans="1:6" ht="24.75" thickBot="1">
      <c r="A194" s="823" t="s">
        <v>526</v>
      </c>
      <c r="B194" s="817" t="s">
        <v>928</v>
      </c>
      <c r="C194" s="1060"/>
      <c r="D194" s="1060"/>
      <c r="E194" s="1060"/>
      <c r="F194" s="1048">
        <v>0.05</v>
      </c>
    </row>
    <row r="195" spans="1:6" ht="14.25" thickBot="1">
      <c r="A195" s="823" t="s">
        <v>526</v>
      </c>
      <c r="B195" s="817" t="s">
        <v>929</v>
      </c>
      <c r="C195" s="1060"/>
      <c r="D195" s="1060"/>
      <c r="E195" s="1060"/>
      <c r="F195" s="1048">
        <v>0.05</v>
      </c>
    </row>
    <row r="196" spans="1:6" ht="24.75" thickBot="1">
      <c r="A196" s="823" t="s">
        <v>526</v>
      </c>
      <c r="B196" s="817" t="s">
        <v>930</v>
      </c>
      <c r="C196" s="1060"/>
      <c r="D196" s="1060"/>
      <c r="E196" s="1060"/>
      <c r="F196" s="1048">
        <v>0.05</v>
      </c>
    </row>
    <row r="197" spans="1:6" ht="24.75" thickBot="1">
      <c r="A197" s="823" t="s">
        <v>526</v>
      </c>
      <c r="B197" s="817" t="s">
        <v>931</v>
      </c>
      <c r="C197" s="1060"/>
      <c r="D197" s="1060"/>
      <c r="E197" s="1060"/>
      <c r="F197" s="1048">
        <v>0.05</v>
      </c>
    </row>
    <row r="198" spans="1:6" ht="24.75" thickBot="1">
      <c r="A198" s="823" t="s">
        <v>526</v>
      </c>
      <c r="B198" s="817" t="s">
        <v>932</v>
      </c>
      <c r="C198" s="1060"/>
      <c r="D198" s="1060"/>
      <c r="E198" s="1060"/>
      <c r="F198" s="1048">
        <v>0.05</v>
      </c>
    </row>
    <row r="199" spans="1:6" ht="24.75" thickBot="1">
      <c r="A199" s="823" t="s">
        <v>526</v>
      </c>
      <c r="B199" s="817" t="s">
        <v>933</v>
      </c>
      <c r="C199" s="1060"/>
      <c r="D199" s="1060"/>
      <c r="E199" s="1060"/>
      <c r="F199" s="1048">
        <v>0.05</v>
      </c>
    </row>
    <row r="200" spans="1:6" ht="24.75" thickBot="1">
      <c r="A200" s="823" t="s">
        <v>526</v>
      </c>
      <c r="B200" s="817" t="s">
        <v>934</v>
      </c>
      <c r="C200" s="1060"/>
      <c r="D200" s="1060"/>
      <c r="E200" s="1060"/>
      <c r="F200" s="1048">
        <v>0.05</v>
      </c>
    </row>
    <row r="201" spans="1:6" ht="24.75" thickBot="1">
      <c r="A201" s="823" t="s">
        <v>526</v>
      </c>
      <c r="B201" s="817" t="s">
        <v>935</v>
      </c>
      <c r="C201" s="1060"/>
      <c r="D201" s="1060"/>
      <c r="E201" s="1060"/>
      <c r="F201" s="1048">
        <v>0.05</v>
      </c>
    </row>
    <row r="202" spans="1:6" ht="24.75" thickBot="1">
      <c r="A202" s="823" t="s">
        <v>526</v>
      </c>
      <c r="B202" s="817" t="s">
        <v>936</v>
      </c>
      <c r="C202" s="1060"/>
      <c r="D202" s="1060"/>
      <c r="E202" s="1060"/>
      <c r="F202" s="1048">
        <v>0.05</v>
      </c>
    </row>
    <row r="203" spans="1:6" ht="24.75" thickBot="1">
      <c r="A203" s="823" t="s">
        <v>526</v>
      </c>
      <c r="B203" s="817" t="s">
        <v>937</v>
      </c>
      <c r="C203" s="1060"/>
      <c r="D203" s="1060"/>
      <c r="E203" s="1060"/>
      <c r="F203" s="1048">
        <v>0.05</v>
      </c>
    </row>
    <row r="204" spans="1:6" ht="14.25" thickBot="1">
      <c r="A204" s="823" t="s">
        <v>526</v>
      </c>
      <c r="B204" s="817" t="s">
        <v>938</v>
      </c>
      <c r="C204" s="1060"/>
      <c r="D204" s="1060"/>
      <c r="E204" s="1060"/>
      <c r="F204" s="1048">
        <v>0.05</v>
      </c>
    </row>
    <row r="205" spans="1:6" ht="14.25" thickBot="1">
      <c r="A205" s="833" t="s">
        <v>526</v>
      </c>
      <c r="B205" s="829" t="s">
        <v>939</v>
      </c>
      <c r="C205" s="1057"/>
      <c r="D205" s="1057"/>
      <c r="E205" s="1057"/>
      <c r="F205" s="1050">
        <v>0.05</v>
      </c>
    </row>
    <row r="206" spans="1:6" ht="14.25" thickBot="1">
      <c r="A206" s="823" t="s">
        <v>528</v>
      </c>
      <c r="B206" s="824" t="s">
        <v>940</v>
      </c>
      <c r="C206" s="1045">
        <v>0.15</v>
      </c>
      <c r="D206" s="1045">
        <v>0.15</v>
      </c>
      <c r="E206" s="1045">
        <v>0.15</v>
      </c>
      <c r="F206" s="1046">
        <v>0.15</v>
      </c>
    </row>
    <row r="207" spans="1:6" ht="14.25" thickBot="1">
      <c r="A207" s="823" t="s">
        <v>528</v>
      </c>
      <c r="B207" s="817" t="s">
        <v>194</v>
      </c>
      <c r="C207" s="1047">
        <v>0.15</v>
      </c>
      <c r="D207" s="1047">
        <v>0.15</v>
      </c>
      <c r="E207" s="1047">
        <v>0.15</v>
      </c>
      <c r="F207" s="1048">
        <v>0.14399999999999999</v>
      </c>
    </row>
    <row r="208" spans="1:6" ht="14.25" thickBot="1">
      <c r="A208" s="823" t="s">
        <v>528</v>
      </c>
      <c r="B208" s="817" t="s">
        <v>207</v>
      </c>
      <c r="C208" s="1047">
        <v>0.15</v>
      </c>
      <c r="D208" s="1047">
        <v>0.15</v>
      </c>
      <c r="E208" s="1047">
        <v>0.15</v>
      </c>
      <c r="F208" s="1048">
        <v>0.15</v>
      </c>
    </row>
    <row r="209" spans="1:6" ht="14.25" thickBot="1">
      <c r="A209" s="823" t="s">
        <v>528</v>
      </c>
      <c r="B209" s="817" t="s">
        <v>220</v>
      </c>
      <c r="C209" s="1047">
        <v>0.13700000000000001</v>
      </c>
      <c r="D209" s="1047">
        <v>0.13700000000000001</v>
      </c>
      <c r="E209" s="1047">
        <v>0.14000000000000001</v>
      </c>
      <c r="F209" s="1048">
        <v>0.11700000000000001</v>
      </c>
    </row>
    <row r="210" spans="1:6" ht="14.25" thickBot="1">
      <c r="A210" s="823" t="s">
        <v>528</v>
      </c>
      <c r="B210" s="817" t="s">
        <v>941</v>
      </c>
      <c r="C210" s="1047">
        <v>0.15</v>
      </c>
      <c r="D210" s="1047">
        <v>0.15</v>
      </c>
      <c r="E210" s="1047">
        <v>0.15</v>
      </c>
      <c r="F210" s="1048">
        <v>0.13800000000000001</v>
      </c>
    </row>
    <row r="211" spans="1:6" ht="14.25" thickBot="1">
      <c r="A211" s="823" t="s">
        <v>528</v>
      </c>
      <c r="B211" s="817" t="s">
        <v>942</v>
      </c>
      <c r="C211" s="1047">
        <v>0.13700000000000001</v>
      </c>
      <c r="D211" s="1047">
        <v>0.13500000000000001</v>
      </c>
      <c r="E211" s="1047">
        <v>0.13600000000000001</v>
      </c>
      <c r="F211" s="1048">
        <v>0.1</v>
      </c>
    </row>
    <row r="212" spans="1:6" ht="14.25" thickBot="1">
      <c r="A212" s="823" t="s">
        <v>528</v>
      </c>
      <c r="B212" s="817" t="s">
        <v>943</v>
      </c>
      <c r="C212" s="1047">
        <v>0.15</v>
      </c>
      <c r="D212" s="1047">
        <v>0.15</v>
      </c>
      <c r="E212" s="1047">
        <v>0.14799999999999999</v>
      </c>
      <c r="F212" s="1048">
        <v>0.13600000000000001</v>
      </c>
    </row>
    <row r="213" spans="1:6" ht="14.25" thickBot="1">
      <c r="A213" s="823" t="s">
        <v>528</v>
      </c>
      <c r="B213" s="817" t="s">
        <v>265</v>
      </c>
      <c r="C213" s="1047">
        <v>0.15</v>
      </c>
      <c r="D213" s="1047">
        <v>0.15</v>
      </c>
      <c r="E213" s="1047">
        <v>0.15</v>
      </c>
      <c r="F213" s="1048">
        <v>0.13800000000000001</v>
      </c>
    </row>
    <row r="214" spans="1:6" ht="14.25" thickBot="1">
      <c r="A214" s="823" t="s">
        <v>528</v>
      </c>
      <c r="B214" s="817" t="s">
        <v>277</v>
      </c>
      <c r="C214" s="1047">
        <v>9.0999999999999998E-2</v>
      </c>
      <c r="D214" s="1047">
        <v>0.09</v>
      </c>
      <c r="E214" s="1047">
        <v>9.1999999999999998E-2</v>
      </c>
      <c r="F214" s="1059"/>
    </row>
    <row r="215" spans="1:6" ht="14.25" thickBot="1">
      <c r="A215" s="823" t="s">
        <v>528</v>
      </c>
      <c r="B215" s="817" t="s">
        <v>944</v>
      </c>
      <c r="C215" s="1047">
        <v>0.15</v>
      </c>
      <c r="D215" s="1047">
        <v>0.15</v>
      </c>
      <c r="E215" s="1047">
        <v>0.15</v>
      </c>
      <c r="F215" s="1048">
        <v>0.15</v>
      </c>
    </row>
    <row r="216" spans="1:6" ht="14.25" thickBot="1">
      <c r="A216" s="823" t="s">
        <v>528</v>
      </c>
      <c r="B216" s="817" t="s">
        <v>297</v>
      </c>
      <c r="C216" s="1047">
        <v>0.14699999999999999</v>
      </c>
      <c r="D216" s="1047">
        <v>0.14699999999999999</v>
      </c>
      <c r="E216" s="1047">
        <v>0.15</v>
      </c>
      <c r="F216" s="1048">
        <v>0.14000000000000001</v>
      </c>
    </row>
    <row r="217" spans="1:6" ht="14.25" thickBot="1">
      <c r="A217" s="823" t="s">
        <v>528</v>
      </c>
      <c r="B217" s="817" t="s">
        <v>307</v>
      </c>
      <c r="C217" s="1047">
        <v>0.15</v>
      </c>
      <c r="D217" s="1047">
        <v>0.15</v>
      </c>
      <c r="E217" s="1047">
        <v>0.15</v>
      </c>
      <c r="F217" s="1048">
        <v>0.15</v>
      </c>
    </row>
    <row r="218" spans="1:6" ht="14.25" thickBot="1">
      <c r="A218" s="823" t="s">
        <v>528</v>
      </c>
      <c r="B218" s="817" t="s">
        <v>945</v>
      </c>
      <c r="C218" s="1047">
        <v>0.15</v>
      </c>
      <c r="D218" s="1047">
        <v>0.15</v>
      </c>
      <c r="E218" s="1047">
        <v>0.15</v>
      </c>
      <c r="F218" s="1048">
        <v>0.15</v>
      </c>
    </row>
    <row r="219" spans="1:6" ht="14.25" thickBot="1">
      <c r="A219" s="823" t="s">
        <v>528</v>
      </c>
      <c r="B219" s="817" t="s">
        <v>328</v>
      </c>
      <c r="C219" s="1047">
        <v>0.15</v>
      </c>
      <c r="D219" s="1047">
        <v>0.15</v>
      </c>
      <c r="E219" s="1047">
        <v>0.15</v>
      </c>
      <c r="F219" s="1048">
        <v>0.14799999999999999</v>
      </c>
    </row>
    <row r="220" spans="1:6" ht="14.25" thickBot="1">
      <c r="A220" s="823" t="s">
        <v>528</v>
      </c>
      <c r="B220" s="817" t="s">
        <v>946</v>
      </c>
      <c r="C220" s="1047">
        <v>0.15</v>
      </c>
      <c r="D220" s="1047">
        <v>0.15</v>
      </c>
      <c r="E220" s="1047">
        <v>0.15</v>
      </c>
      <c r="F220" s="1048">
        <v>0.15</v>
      </c>
    </row>
    <row r="221" spans="1:6" ht="14.25" thickBot="1">
      <c r="A221" s="823" t="s">
        <v>528</v>
      </c>
      <c r="B221" s="817" t="s">
        <v>349</v>
      </c>
      <c r="C221" s="1047"/>
      <c r="D221" s="1060"/>
      <c r="E221" s="1060"/>
      <c r="F221" s="1048">
        <v>0.14799999999999999</v>
      </c>
    </row>
    <row r="222" spans="1:6" ht="14.25" thickBot="1">
      <c r="A222" s="823" t="s">
        <v>528</v>
      </c>
      <c r="B222" s="817" t="s">
        <v>359</v>
      </c>
      <c r="C222" s="1047"/>
      <c r="D222" s="1060"/>
      <c r="E222" s="1060"/>
      <c r="F222" s="1048">
        <v>0.1</v>
      </c>
    </row>
    <row r="223" spans="1:6" ht="14.25" thickBot="1">
      <c r="A223" s="823" t="s">
        <v>528</v>
      </c>
      <c r="B223" s="817" t="s">
        <v>369</v>
      </c>
      <c r="C223" s="1047"/>
      <c r="D223" s="1060"/>
      <c r="E223" s="1060"/>
      <c r="F223" s="1048">
        <v>0.15</v>
      </c>
    </row>
    <row r="224" spans="1:6" ht="14.25" thickBot="1">
      <c r="A224" s="823" t="s">
        <v>528</v>
      </c>
      <c r="B224" s="817" t="s">
        <v>379</v>
      </c>
      <c r="C224" s="1047"/>
      <c r="D224" s="1060"/>
      <c r="E224" s="1060"/>
      <c r="F224" s="1048">
        <v>0.15</v>
      </c>
    </row>
    <row r="225" spans="1:6" ht="14.25" thickBot="1">
      <c r="A225" s="823" t="s">
        <v>528</v>
      </c>
      <c r="B225" s="817" t="s">
        <v>947</v>
      </c>
      <c r="C225" s="1047">
        <v>0.15</v>
      </c>
      <c r="D225" s="1047">
        <v>0.15</v>
      </c>
      <c r="E225" s="1047">
        <v>0.15</v>
      </c>
      <c r="F225" s="1048">
        <v>0.15</v>
      </c>
    </row>
    <row r="226" spans="1:6" ht="14.25" thickBot="1">
      <c r="A226" s="823" t="s">
        <v>528</v>
      </c>
      <c r="B226" s="817" t="s">
        <v>397</v>
      </c>
      <c r="C226" s="1047">
        <v>0.15</v>
      </c>
      <c r="D226" s="1047">
        <v>0.15</v>
      </c>
      <c r="E226" s="1047">
        <v>0.15</v>
      </c>
      <c r="F226" s="1048">
        <v>0.14799999999999999</v>
      </c>
    </row>
    <row r="227" spans="1:6" ht="14.25" thickBot="1">
      <c r="A227" s="823" t="s">
        <v>528</v>
      </c>
      <c r="B227" s="817" t="s">
        <v>948</v>
      </c>
      <c r="C227" s="1047">
        <v>0.15</v>
      </c>
      <c r="D227" s="1047">
        <v>0.15</v>
      </c>
      <c r="E227" s="1047">
        <v>0.15</v>
      </c>
      <c r="F227" s="1048">
        <v>0.15</v>
      </c>
    </row>
    <row r="228" spans="1:6" ht="14.25" thickBot="1">
      <c r="A228" s="823" t="s">
        <v>528</v>
      </c>
      <c r="B228" s="817" t="s">
        <v>412</v>
      </c>
      <c r="C228" s="1047">
        <v>0.15</v>
      </c>
      <c r="D228" s="1047">
        <v>0.15</v>
      </c>
      <c r="E228" s="1047">
        <v>0.15</v>
      </c>
      <c r="F228" s="1048">
        <v>0.15</v>
      </c>
    </row>
    <row r="229" spans="1:6" ht="14.25" thickBot="1">
      <c r="A229" s="823" t="s">
        <v>528</v>
      </c>
      <c r="B229" s="817" t="s">
        <v>419</v>
      </c>
      <c r="C229" s="1047">
        <v>0.15</v>
      </c>
      <c r="D229" s="1047">
        <v>0.15</v>
      </c>
      <c r="E229" s="1047">
        <v>0.15</v>
      </c>
      <c r="F229" s="1059"/>
    </row>
    <row r="230" spans="1:6" ht="14.25" thickBot="1">
      <c r="A230" s="823" t="s">
        <v>528</v>
      </c>
      <c r="B230" s="817" t="s">
        <v>426</v>
      </c>
      <c r="C230" s="1047">
        <v>0.14499999999999999</v>
      </c>
      <c r="D230" s="1047">
        <v>0.14499999999999999</v>
      </c>
      <c r="E230" s="1047">
        <v>0.14399999999999999</v>
      </c>
      <c r="F230" s="1059"/>
    </row>
    <row r="231" spans="1:6" ht="14.25" thickBot="1">
      <c r="A231" s="823" t="s">
        <v>528</v>
      </c>
      <c r="B231" s="817" t="s">
        <v>949</v>
      </c>
      <c r="C231" s="1047">
        <v>0.128</v>
      </c>
      <c r="D231" s="1047">
        <v>0.125</v>
      </c>
      <c r="E231" s="1047">
        <v>0.13200000000000001</v>
      </c>
      <c r="F231" s="1059"/>
    </row>
    <row r="232" spans="1:6" ht="14.25" thickBot="1">
      <c r="A232" s="823" t="s">
        <v>528</v>
      </c>
      <c r="B232" s="817" t="s">
        <v>950</v>
      </c>
      <c r="C232" s="1047">
        <v>0.14499999999999999</v>
      </c>
      <c r="D232" s="1047">
        <v>0.14399999999999999</v>
      </c>
      <c r="E232" s="1047">
        <v>0.14599999999999999</v>
      </c>
      <c r="F232" s="1048">
        <v>0.13800000000000001</v>
      </c>
    </row>
    <row r="233" spans="1:6" ht="14.25" thickBot="1">
      <c r="A233" s="823" t="s">
        <v>528</v>
      </c>
      <c r="B233" s="817" t="s">
        <v>951</v>
      </c>
      <c r="C233" s="1047">
        <v>0.14499999999999999</v>
      </c>
      <c r="D233" s="1047">
        <v>0.14299999999999999</v>
      </c>
      <c r="E233" s="1047">
        <v>0.14199999999999999</v>
      </c>
      <c r="F233" s="1059"/>
    </row>
    <row r="234" spans="1:6" ht="14.25" thickBot="1">
      <c r="A234" s="823" t="s">
        <v>528</v>
      </c>
      <c r="B234" s="817" t="s">
        <v>952</v>
      </c>
      <c r="C234" s="1047">
        <v>0.14000000000000001</v>
      </c>
      <c r="D234" s="1047">
        <v>0.14000000000000001</v>
      </c>
      <c r="E234" s="1047">
        <v>0.14399999999999999</v>
      </c>
      <c r="F234" s="1059"/>
    </row>
    <row r="235" spans="1:6" ht="14.25" thickBot="1">
      <c r="A235" s="823" t="s">
        <v>528</v>
      </c>
      <c r="B235" s="817" t="s">
        <v>953</v>
      </c>
      <c r="C235" s="1047">
        <v>0.14099999999999999</v>
      </c>
      <c r="D235" s="1047">
        <v>0.14199999999999999</v>
      </c>
      <c r="E235" s="1047">
        <v>0.14499999999999999</v>
      </c>
      <c r="F235" s="1048">
        <v>0.15</v>
      </c>
    </row>
    <row r="236" spans="1:6" ht="14.25" thickBot="1">
      <c r="A236" s="823" t="s">
        <v>528</v>
      </c>
      <c r="B236" s="817" t="s">
        <v>461</v>
      </c>
      <c r="C236" s="1060"/>
      <c r="D236" s="1060"/>
      <c r="E236" s="1060"/>
      <c r="F236" s="1048">
        <v>0.14299999999999999</v>
      </c>
    </row>
    <row r="237" spans="1:6" ht="24.75" thickBot="1">
      <c r="A237" s="823" t="s">
        <v>528</v>
      </c>
      <c r="B237" s="817" t="s">
        <v>954</v>
      </c>
      <c r="C237" s="1060"/>
      <c r="D237" s="1060"/>
      <c r="E237" s="1060"/>
      <c r="F237" s="1048">
        <v>0.05</v>
      </c>
    </row>
    <row r="238" spans="1:6" ht="24.75" thickBot="1">
      <c r="A238" s="823" t="s">
        <v>528</v>
      </c>
      <c r="B238" s="817" t="s">
        <v>955</v>
      </c>
      <c r="C238" s="1060"/>
      <c r="D238" s="1060"/>
      <c r="E238" s="1060"/>
      <c r="F238" s="1048">
        <v>0.05</v>
      </c>
    </row>
    <row r="239" spans="1:6" ht="24.75" thickBot="1">
      <c r="A239" s="823" t="s">
        <v>528</v>
      </c>
      <c r="B239" s="817" t="s">
        <v>956</v>
      </c>
      <c r="C239" s="1060"/>
      <c r="D239" s="1060"/>
      <c r="E239" s="1060"/>
      <c r="F239" s="1048">
        <v>0.05</v>
      </c>
    </row>
    <row r="240" spans="1:6" ht="24.75" thickBot="1">
      <c r="A240" s="823" t="s">
        <v>528</v>
      </c>
      <c r="B240" s="817" t="s">
        <v>957</v>
      </c>
      <c r="C240" s="1060"/>
      <c r="D240" s="1060"/>
      <c r="E240" s="1060"/>
      <c r="F240" s="1048">
        <v>0.05</v>
      </c>
    </row>
    <row r="241" spans="1:6" ht="24.75" thickBot="1">
      <c r="A241" s="823" t="s">
        <v>528</v>
      </c>
      <c r="B241" s="817" t="s">
        <v>958</v>
      </c>
      <c r="C241" s="1060"/>
      <c r="D241" s="1060"/>
      <c r="E241" s="1060"/>
      <c r="F241" s="1048">
        <v>0.05</v>
      </c>
    </row>
    <row r="242" spans="1:6" ht="24.75" thickBot="1">
      <c r="A242" s="823" t="s">
        <v>528</v>
      </c>
      <c r="B242" s="817" t="s">
        <v>959</v>
      </c>
      <c r="C242" s="1060"/>
      <c r="D242" s="1060"/>
      <c r="E242" s="1060"/>
      <c r="F242" s="1048">
        <v>0.05</v>
      </c>
    </row>
    <row r="243" spans="1:6" ht="24.75" thickBot="1">
      <c r="A243" s="823" t="s">
        <v>528</v>
      </c>
      <c r="B243" s="817" t="s">
        <v>960</v>
      </c>
      <c r="C243" s="1060"/>
      <c r="D243" s="1060"/>
      <c r="E243" s="1060"/>
      <c r="F243" s="1048">
        <v>0.05</v>
      </c>
    </row>
    <row r="244" spans="1:6" ht="24.75" thickBot="1">
      <c r="A244" s="833" t="s">
        <v>528</v>
      </c>
      <c r="B244" s="829" t="s">
        <v>961</v>
      </c>
      <c r="C244" s="1057"/>
      <c r="D244" s="1057"/>
      <c r="E244" s="1057"/>
      <c r="F244" s="1050">
        <v>0.05</v>
      </c>
    </row>
    <row r="245" spans="1:6" ht="14.25" thickBot="1">
      <c r="A245" s="823" t="s">
        <v>530</v>
      </c>
      <c r="B245" s="824" t="s">
        <v>962</v>
      </c>
      <c r="C245" s="1045">
        <v>0.15</v>
      </c>
      <c r="D245" s="1045">
        <v>0.15</v>
      </c>
      <c r="E245" s="1045">
        <v>0.15</v>
      </c>
      <c r="F245" s="1046">
        <v>0.14299999999999999</v>
      </c>
    </row>
    <row r="246" spans="1:6" ht="14.25" thickBot="1">
      <c r="A246" s="823" t="s">
        <v>530</v>
      </c>
      <c r="B246" s="817" t="s">
        <v>195</v>
      </c>
      <c r="C246" s="1047">
        <v>0.15</v>
      </c>
      <c r="D246" s="1047">
        <v>0.15</v>
      </c>
      <c r="E246" s="1047">
        <v>0.15</v>
      </c>
      <c r="F246" s="1048">
        <v>0.114</v>
      </c>
    </row>
    <row r="247" spans="1:6" ht="14.25" thickBot="1">
      <c r="A247" s="823" t="s">
        <v>530</v>
      </c>
      <c r="B247" s="817" t="s">
        <v>963</v>
      </c>
      <c r="C247" s="1047">
        <v>0.15</v>
      </c>
      <c r="D247" s="1047">
        <v>0.15</v>
      </c>
      <c r="E247" s="1047">
        <v>0.15</v>
      </c>
      <c r="F247" s="1048">
        <v>0.15</v>
      </c>
    </row>
    <row r="248" spans="1:6" ht="14.25" thickBot="1">
      <c r="A248" s="823" t="s">
        <v>530</v>
      </c>
      <c r="B248" s="817" t="s">
        <v>964</v>
      </c>
      <c r="C248" s="1047">
        <v>0.15</v>
      </c>
      <c r="D248" s="1047">
        <v>0.15</v>
      </c>
      <c r="E248" s="1047">
        <v>0.15</v>
      </c>
      <c r="F248" s="1048">
        <v>0.14000000000000001</v>
      </c>
    </row>
    <row r="249" spans="1:6" ht="14.25" thickBot="1">
      <c r="A249" s="823" t="s">
        <v>530</v>
      </c>
      <c r="B249" s="817" t="s">
        <v>965</v>
      </c>
      <c r="C249" s="1047">
        <v>0.15</v>
      </c>
      <c r="D249" s="1047">
        <v>0.14899999999999999</v>
      </c>
      <c r="E249" s="1047">
        <v>0.15</v>
      </c>
      <c r="F249" s="1048">
        <v>0.1</v>
      </c>
    </row>
    <row r="250" spans="1:6" ht="14.25" thickBot="1">
      <c r="A250" s="823" t="s">
        <v>530</v>
      </c>
      <c r="B250" s="817" t="s">
        <v>966</v>
      </c>
      <c r="C250" s="1047">
        <v>0.15</v>
      </c>
      <c r="D250" s="1047">
        <v>0.15</v>
      </c>
      <c r="E250" s="1047">
        <v>0.15</v>
      </c>
      <c r="F250" s="1048">
        <v>0.14399999999999999</v>
      </c>
    </row>
    <row r="251" spans="1:6" ht="14.25" thickBot="1">
      <c r="A251" s="823" t="s">
        <v>530</v>
      </c>
      <c r="B251" s="817" t="s">
        <v>255</v>
      </c>
      <c r="C251" s="1047">
        <v>0.15</v>
      </c>
      <c r="D251" s="1047">
        <v>0.15</v>
      </c>
      <c r="E251" s="1047">
        <v>0.15</v>
      </c>
      <c r="F251" s="1048">
        <v>0.14299999999999999</v>
      </c>
    </row>
    <row r="252" spans="1:6" ht="14.25" thickBot="1">
      <c r="A252" s="823" t="s">
        <v>530</v>
      </c>
      <c r="B252" s="817" t="s">
        <v>266</v>
      </c>
      <c r="C252" s="1047">
        <v>0.15</v>
      </c>
      <c r="D252" s="1047">
        <v>0.15</v>
      </c>
      <c r="E252" s="1047">
        <v>0.15</v>
      </c>
      <c r="F252" s="1048">
        <v>0.1</v>
      </c>
    </row>
    <row r="253" spans="1:6" ht="14.25" thickBot="1">
      <c r="A253" s="823" t="s">
        <v>530</v>
      </c>
      <c r="B253" s="817" t="s">
        <v>278</v>
      </c>
      <c r="C253" s="1047">
        <v>0.15</v>
      </c>
      <c r="D253" s="1047">
        <v>0.15</v>
      </c>
      <c r="E253" s="1047">
        <v>0.15</v>
      </c>
      <c r="F253" s="1048">
        <v>0.1</v>
      </c>
    </row>
    <row r="254" spans="1:6" ht="14.25" thickBot="1">
      <c r="A254" s="823" t="s">
        <v>530</v>
      </c>
      <c r="B254" s="817" t="s">
        <v>288</v>
      </c>
      <c r="C254" s="1060"/>
      <c r="D254" s="1060"/>
      <c r="E254" s="1060"/>
      <c r="F254" s="1048">
        <v>0.15</v>
      </c>
    </row>
    <row r="255" spans="1:6" ht="14.25" thickBot="1">
      <c r="A255" s="823" t="s">
        <v>530</v>
      </c>
      <c r="B255" s="817" t="s">
        <v>298</v>
      </c>
      <c r="C255" s="1060"/>
      <c r="D255" s="1060"/>
      <c r="E255" s="1060"/>
      <c r="F255" s="1048">
        <v>0.14299999999999999</v>
      </c>
    </row>
    <row r="256" spans="1:6" ht="14.25" thickBot="1">
      <c r="A256" s="823" t="s">
        <v>530</v>
      </c>
      <c r="B256" s="817" t="s">
        <v>967</v>
      </c>
      <c r="C256" s="1047">
        <v>0.14599999999999999</v>
      </c>
      <c r="D256" s="1047">
        <v>0.14699999999999999</v>
      </c>
      <c r="E256" s="1047">
        <v>0.15</v>
      </c>
      <c r="F256" s="1048">
        <v>0.13200000000000001</v>
      </c>
    </row>
    <row r="257" spans="1:6" ht="14.25" thickBot="1">
      <c r="A257" s="823" t="s">
        <v>530</v>
      </c>
      <c r="B257" s="817" t="s">
        <v>318</v>
      </c>
      <c r="C257" s="1047">
        <v>0.15</v>
      </c>
      <c r="D257" s="1047">
        <v>0.15</v>
      </c>
      <c r="E257" s="1047">
        <v>0.15</v>
      </c>
      <c r="F257" s="1048">
        <v>0.13900000000000001</v>
      </c>
    </row>
    <row r="258" spans="1:6" ht="14.25" thickBot="1">
      <c r="A258" s="823" t="s">
        <v>530</v>
      </c>
      <c r="B258" s="817" t="s">
        <v>329</v>
      </c>
      <c r="C258" s="1047">
        <v>0.15</v>
      </c>
      <c r="D258" s="1047">
        <v>0.15</v>
      </c>
      <c r="E258" s="1047">
        <v>0.15</v>
      </c>
      <c r="F258" s="1048">
        <v>0.13</v>
      </c>
    </row>
    <row r="259" spans="1:6" ht="14.25" thickBot="1">
      <c r="A259" s="823" t="s">
        <v>530</v>
      </c>
      <c r="B259" s="817" t="s">
        <v>968</v>
      </c>
      <c r="C259" s="1047">
        <v>0.14799999999999999</v>
      </c>
      <c r="D259" s="1047">
        <v>0.14899999999999999</v>
      </c>
      <c r="E259" s="1047">
        <v>0.15</v>
      </c>
      <c r="F259" s="1048">
        <v>0.13700000000000001</v>
      </c>
    </row>
    <row r="260" spans="1:6" ht="14.25" thickBot="1">
      <c r="A260" s="823" t="s">
        <v>530</v>
      </c>
      <c r="B260" s="817" t="s">
        <v>350</v>
      </c>
      <c r="C260" s="1047">
        <v>0.15</v>
      </c>
      <c r="D260" s="1047">
        <v>0.15</v>
      </c>
      <c r="E260" s="1047">
        <v>0.15</v>
      </c>
      <c r="F260" s="1048">
        <v>0.14199999999999999</v>
      </c>
    </row>
    <row r="261" spans="1:6" ht="14.25" thickBot="1">
      <c r="A261" s="823" t="s">
        <v>530</v>
      </c>
      <c r="B261" s="817" t="s">
        <v>360</v>
      </c>
      <c r="C261" s="1047">
        <v>0.15</v>
      </c>
      <c r="D261" s="1047">
        <v>0.15</v>
      </c>
      <c r="E261" s="1047">
        <v>0.14899999999999999</v>
      </c>
      <c r="F261" s="1048">
        <v>0.14799999999999999</v>
      </c>
    </row>
    <row r="262" spans="1:6" ht="14.25" thickBot="1">
      <c r="A262" s="823" t="s">
        <v>530</v>
      </c>
      <c r="B262" s="817" t="s">
        <v>370</v>
      </c>
      <c r="C262" s="1047">
        <v>0.15</v>
      </c>
      <c r="D262" s="1047">
        <v>0.15</v>
      </c>
      <c r="E262" s="1047">
        <v>0.15</v>
      </c>
      <c r="F262" s="1059"/>
    </row>
    <row r="263" spans="1:6" ht="14.25" thickBot="1">
      <c r="A263" s="823" t="s">
        <v>530</v>
      </c>
      <c r="B263" s="817" t="s">
        <v>969</v>
      </c>
      <c r="C263" s="1047">
        <v>0.14899999999999999</v>
      </c>
      <c r="D263" s="1047">
        <v>0.14899999999999999</v>
      </c>
      <c r="E263" s="1047">
        <v>0.15</v>
      </c>
      <c r="F263" s="1048">
        <v>0.13</v>
      </c>
    </row>
    <row r="264" spans="1:6" ht="14.25" thickBot="1">
      <c r="A264" s="823" t="s">
        <v>530</v>
      </c>
      <c r="B264" s="817" t="s">
        <v>389</v>
      </c>
      <c r="C264" s="1047">
        <v>0.14799999999999999</v>
      </c>
      <c r="D264" s="1047">
        <v>0.14699999999999999</v>
      </c>
      <c r="E264" s="1047">
        <v>0.15</v>
      </c>
      <c r="F264" s="1048">
        <v>7.8E-2</v>
      </c>
    </row>
    <row r="265" spans="1:6" ht="14.25" thickBot="1">
      <c r="A265" s="823" t="s">
        <v>530</v>
      </c>
      <c r="B265" s="817" t="s">
        <v>398</v>
      </c>
      <c r="C265" s="1047">
        <v>0.15</v>
      </c>
      <c r="D265" s="1047">
        <v>0.15</v>
      </c>
      <c r="E265" s="1047">
        <v>0.15</v>
      </c>
      <c r="F265" s="1048">
        <v>7.3999999999999996E-2</v>
      </c>
    </row>
    <row r="266" spans="1:6" ht="14.25" thickBot="1">
      <c r="A266" s="823" t="s">
        <v>530</v>
      </c>
      <c r="B266" s="817" t="s">
        <v>406</v>
      </c>
      <c r="C266" s="1047">
        <v>0.14699999999999999</v>
      </c>
      <c r="D266" s="1047">
        <v>0.14699999999999999</v>
      </c>
      <c r="E266" s="1047">
        <v>0.15</v>
      </c>
      <c r="F266" s="1048">
        <v>0.14299999999999999</v>
      </c>
    </row>
    <row r="267" spans="1:6" ht="14.25" thickBot="1">
      <c r="A267" s="823" t="s">
        <v>530</v>
      </c>
      <c r="B267" s="817" t="s">
        <v>413</v>
      </c>
      <c r="C267" s="1047">
        <v>0.14199999999999999</v>
      </c>
      <c r="D267" s="1047">
        <v>0.14299999999999999</v>
      </c>
      <c r="E267" s="1047">
        <v>0.15</v>
      </c>
      <c r="F267" s="1059"/>
    </row>
    <row r="268" spans="1:6" ht="14.25" thickBot="1">
      <c r="A268" s="823" t="s">
        <v>530</v>
      </c>
      <c r="B268" s="817" t="s">
        <v>970</v>
      </c>
      <c r="C268" s="1047">
        <v>0.15</v>
      </c>
      <c r="D268" s="1047">
        <v>0.15</v>
      </c>
      <c r="E268" s="1047">
        <v>0.15</v>
      </c>
      <c r="F268" s="1048">
        <v>0.13</v>
      </c>
    </row>
    <row r="269" spans="1:6" ht="14.25" thickBot="1">
      <c r="A269" s="823" t="s">
        <v>530</v>
      </c>
      <c r="B269" s="817" t="s">
        <v>427</v>
      </c>
      <c r="C269" s="1047">
        <v>0.15</v>
      </c>
      <c r="D269" s="1047">
        <v>0.15</v>
      </c>
      <c r="E269" s="1047">
        <v>0.15</v>
      </c>
      <c r="F269" s="1048">
        <v>0.14299999999999999</v>
      </c>
    </row>
    <row r="270" spans="1:6" ht="14.25" thickBot="1">
      <c r="A270" s="823" t="s">
        <v>530</v>
      </c>
      <c r="B270" s="817" t="s">
        <v>434</v>
      </c>
      <c r="C270" s="1047">
        <v>0.14499999999999999</v>
      </c>
      <c r="D270" s="1047">
        <v>0.14499999999999999</v>
      </c>
      <c r="E270" s="1047">
        <v>0.15</v>
      </c>
      <c r="F270" s="1048">
        <v>0.14699999999999999</v>
      </c>
    </row>
    <row r="271" spans="1:6" ht="14.25" thickBot="1">
      <c r="A271" s="823" t="s">
        <v>530</v>
      </c>
      <c r="B271" s="817" t="s">
        <v>441</v>
      </c>
      <c r="C271" s="1047">
        <v>0.15</v>
      </c>
      <c r="D271" s="1047">
        <v>0.15</v>
      </c>
      <c r="E271" s="1047">
        <v>0.15</v>
      </c>
      <c r="F271" s="1048">
        <v>0.13800000000000001</v>
      </c>
    </row>
    <row r="272" spans="1:6" ht="14.25" thickBot="1">
      <c r="A272" s="823" t="s">
        <v>530</v>
      </c>
      <c r="B272" s="817" t="s">
        <v>448</v>
      </c>
      <c r="C272" s="1060"/>
      <c r="D272" s="1060"/>
      <c r="E272" s="1060"/>
      <c r="F272" s="1048">
        <v>0.14000000000000001</v>
      </c>
    </row>
    <row r="273" spans="1:6" ht="14.25" thickBot="1">
      <c r="A273" s="823" t="s">
        <v>530</v>
      </c>
      <c r="B273" s="817" t="s">
        <v>971</v>
      </c>
      <c r="C273" s="1047">
        <v>0.14199999999999999</v>
      </c>
      <c r="D273" s="1047">
        <v>0.14299999999999999</v>
      </c>
      <c r="E273" s="1047">
        <v>0.15</v>
      </c>
      <c r="F273" s="1048">
        <v>0.1</v>
      </c>
    </row>
    <row r="274" spans="1:6" ht="14.25" thickBot="1">
      <c r="A274" s="823" t="s">
        <v>530</v>
      </c>
      <c r="B274" s="817" t="s">
        <v>972</v>
      </c>
      <c r="C274" s="1047">
        <v>0.14799999999999999</v>
      </c>
      <c r="D274" s="1047">
        <v>0.14799999999999999</v>
      </c>
      <c r="E274" s="1047">
        <v>0.15</v>
      </c>
      <c r="F274" s="1048">
        <v>6.7000000000000004E-2</v>
      </c>
    </row>
    <row r="275" spans="1:6" ht="14.25" thickBot="1">
      <c r="A275" s="823" t="s">
        <v>530</v>
      </c>
      <c r="B275" s="817" t="s">
        <v>973</v>
      </c>
      <c r="C275" s="1047">
        <v>0.15</v>
      </c>
      <c r="D275" s="1047">
        <v>0.15</v>
      </c>
      <c r="E275" s="1047">
        <v>0.15</v>
      </c>
      <c r="F275" s="1048">
        <v>0.15</v>
      </c>
    </row>
    <row r="276" spans="1:6" ht="14.25" thickBot="1">
      <c r="A276" s="823" t="s">
        <v>530</v>
      </c>
      <c r="B276" s="817" t="s">
        <v>974</v>
      </c>
      <c r="C276" s="1047">
        <v>0.14499999999999999</v>
      </c>
      <c r="D276" s="1047">
        <v>0.14299999999999999</v>
      </c>
      <c r="E276" s="1047">
        <v>0.15</v>
      </c>
      <c r="F276" s="1048">
        <v>5.8999999999999997E-2</v>
      </c>
    </row>
    <row r="277" spans="1:6" ht="14.25" thickBot="1">
      <c r="A277" s="823" t="s">
        <v>530</v>
      </c>
      <c r="B277" s="817" t="s">
        <v>975</v>
      </c>
      <c r="C277" s="1047">
        <v>0.15</v>
      </c>
      <c r="D277" s="1047">
        <v>0.15</v>
      </c>
      <c r="E277" s="1047">
        <v>0.15</v>
      </c>
      <c r="F277" s="1048">
        <v>0.121</v>
      </c>
    </row>
    <row r="278" spans="1:6" ht="14.25" thickBot="1">
      <c r="A278" s="823" t="s">
        <v>530</v>
      </c>
      <c r="B278" s="817" t="s">
        <v>976</v>
      </c>
      <c r="C278" s="1047">
        <v>0.15</v>
      </c>
      <c r="D278" s="1047">
        <v>0.15</v>
      </c>
      <c r="E278" s="1047">
        <v>0.15</v>
      </c>
      <c r="F278" s="1048">
        <v>0.13800000000000001</v>
      </c>
    </row>
    <row r="279" spans="1:6" ht="24.75" thickBot="1">
      <c r="A279" s="823" t="s">
        <v>530</v>
      </c>
      <c r="B279" s="817" t="s">
        <v>977</v>
      </c>
      <c r="C279" s="1060"/>
      <c r="D279" s="1060"/>
      <c r="E279" s="1060"/>
      <c r="F279" s="1048">
        <v>0.05</v>
      </c>
    </row>
    <row r="280" spans="1:6" ht="24.75" thickBot="1">
      <c r="A280" s="823" t="s">
        <v>530</v>
      </c>
      <c r="B280" s="817" t="s">
        <v>978</v>
      </c>
      <c r="C280" s="1060"/>
      <c r="D280" s="1060"/>
      <c r="E280" s="1060"/>
      <c r="F280" s="1048">
        <v>0.05</v>
      </c>
    </row>
    <row r="281" spans="1:6" ht="24.75" thickBot="1">
      <c r="A281" s="823" t="s">
        <v>530</v>
      </c>
      <c r="B281" s="817" t="s">
        <v>979</v>
      </c>
      <c r="C281" s="1060"/>
      <c r="D281" s="1060"/>
      <c r="E281" s="1060"/>
      <c r="F281" s="1048">
        <v>0.05</v>
      </c>
    </row>
    <row r="282" spans="1:6" ht="24.75" thickBot="1">
      <c r="A282" s="823" t="s">
        <v>530</v>
      </c>
      <c r="B282" s="817" t="s">
        <v>980</v>
      </c>
      <c r="C282" s="1060"/>
      <c r="D282" s="1060"/>
      <c r="E282" s="1060"/>
      <c r="F282" s="1048">
        <v>0.05</v>
      </c>
    </row>
    <row r="283" spans="1:6" ht="24.75" thickBot="1">
      <c r="A283" s="823" t="s">
        <v>530</v>
      </c>
      <c r="B283" s="817" t="s">
        <v>981</v>
      </c>
      <c r="C283" s="1060"/>
      <c r="D283" s="1060"/>
      <c r="E283" s="1060"/>
      <c r="F283" s="1048">
        <v>0.05</v>
      </c>
    </row>
    <row r="284" spans="1:6" ht="24.75" thickBot="1">
      <c r="A284" s="823" t="s">
        <v>530</v>
      </c>
      <c r="B284" s="817" t="s">
        <v>982</v>
      </c>
      <c r="C284" s="1060"/>
      <c r="D284" s="1060"/>
      <c r="E284" s="1060"/>
      <c r="F284" s="1048">
        <v>0.05</v>
      </c>
    </row>
    <row r="285" spans="1:6" ht="24.75" thickBot="1">
      <c r="A285" s="823" t="s">
        <v>530</v>
      </c>
      <c r="B285" s="817" t="s">
        <v>983</v>
      </c>
      <c r="C285" s="1060"/>
      <c r="D285" s="1060"/>
      <c r="E285" s="1060"/>
      <c r="F285" s="1048">
        <v>0.05</v>
      </c>
    </row>
    <row r="286" spans="1:6" ht="24.75" thickBot="1">
      <c r="A286" s="823" t="s">
        <v>530</v>
      </c>
      <c r="B286" s="817" t="s">
        <v>984</v>
      </c>
      <c r="C286" s="1060"/>
      <c r="D286" s="1060"/>
      <c r="E286" s="1060"/>
      <c r="F286" s="1048">
        <v>0.05</v>
      </c>
    </row>
    <row r="287" spans="1:6" ht="24.75" thickBot="1">
      <c r="A287" s="823" t="s">
        <v>530</v>
      </c>
      <c r="B287" s="817" t="s">
        <v>985</v>
      </c>
      <c r="C287" s="1060"/>
      <c r="D287" s="1060"/>
      <c r="E287" s="1060"/>
      <c r="F287" s="1048">
        <v>0.05</v>
      </c>
    </row>
    <row r="288" spans="1:6" ht="24.75" thickBot="1">
      <c r="A288" s="823" t="s">
        <v>530</v>
      </c>
      <c r="B288" s="817" t="s">
        <v>986</v>
      </c>
      <c r="C288" s="1060"/>
      <c r="D288" s="1060"/>
      <c r="E288" s="1060"/>
      <c r="F288" s="1048">
        <v>0.05</v>
      </c>
    </row>
    <row r="289" spans="1:6" ht="24.75" thickBot="1">
      <c r="A289" s="833" t="s">
        <v>530</v>
      </c>
      <c r="B289" s="829" t="s">
        <v>987</v>
      </c>
      <c r="C289" s="1057"/>
      <c r="D289" s="1057"/>
      <c r="E289" s="1057"/>
      <c r="F289" s="1050">
        <v>0.05</v>
      </c>
    </row>
    <row r="290" spans="1:6" ht="14.25" thickBot="1">
      <c r="A290" s="823" t="s">
        <v>534</v>
      </c>
      <c r="B290" s="824" t="s">
        <v>988</v>
      </c>
      <c r="C290" s="1045">
        <v>0.15</v>
      </c>
      <c r="D290" s="1045">
        <v>0.15</v>
      </c>
      <c r="E290" s="1045">
        <v>0.15</v>
      </c>
      <c r="F290" s="1062"/>
    </row>
    <row r="291" spans="1:6" ht="14.25" thickBot="1">
      <c r="A291" s="823" t="s">
        <v>534</v>
      </c>
      <c r="B291" s="817" t="s">
        <v>196</v>
      </c>
      <c r="C291" s="1047">
        <v>0.15</v>
      </c>
      <c r="D291" s="1047">
        <v>0.15</v>
      </c>
      <c r="E291" s="1047">
        <v>0.15</v>
      </c>
      <c r="F291" s="1059"/>
    </row>
    <row r="292" spans="1:6" ht="14.25" thickBot="1">
      <c r="A292" s="823" t="s">
        <v>534</v>
      </c>
      <c r="B292" s="817" t="s">
        <v>989</v>
      </c>
      <c r="C292" s="1047">
        <v>0.15</v>
      </c>
      <c r="D292" s="1047">
        <v>0.15</v>
      </c>
      <c r="E292" s="1047">
        <v>0.15</v>
      </c>
      <c r="F292" s="1048">
        <v>0.14699999999999999</v>
      </c>
    </row>
    <row r="293" spans="1:6" ht="14.25" thickBot="1">
      <c r="A293" s="823" t="s">
        <v>534</v>
      </c>
      <c r="B293" s="817" t="s">
        <v>990</v>
      </c>
      <c r="C293" s="1060"/>
      <c r="D293" s="1060"/>
      <c r="E293" s="1060"/>
      <c r="F293" s="1048">
        <v>0.1</v>
      </c>
    </row>
    <row r="294" spans="1:6" ht="14.25" thickBot="1">
      <c r="A294" s="823" t="s">
        <v>534</v>
      </c>
      <c r="B294" s="817" t="s">
        <v>991</v>
      </c>
      <c r="C294" s="1047">
        <v>0.15</v>
      </c>
      <c r="D294" s="1047">
        <v>0.15</v>
      </c>
      <c r="E294" s="1047">
        <v>0.15</v>
      </c>
      <c r="F294" s="1048">
        <v>0.15</v>
      </c>
    </row>
    <row r="295" spans="1:6" ht="14.25" thickBot="1">
      <c r="A295" s="823" t="s">
        <v>534</v>
      </c>
      <c r="B295" s="817" t="s">
        <v>234</v>
      </c>
      <c r="C295" s="1047">
        <v>0.15</v>
      </c>
      <c r="D295" s="1047">
        <v>0.15</v>
      </c>
      <c r="E295" s="1047">
        <v>0.15</v>
      </c>
      <c r="F295" s="1048">
        <v>0.15</v>
      </c>
    </row>
    <row r="296" spans="1:6" ht="14.25" thickBot="1">
      <c r="A296" s="823" t="s">
        <v>534</v>
      </c>
      <c r="B296" s="817" t="s">
        <v>992</v>
      </c>
      <c r="C296" s="1047">
        <v>0.15</v>
      </c>
      <c r="D296" s="1047">
        <v>0.15</v>
      </c>
      <c r="E296" s="1047">
        <v>0.15</v>
      </c>
      <c r="F296" s="1048">
        <v>0.15</v>
      </c>
    </row>
    <row r="297" spans="1:6" ht="14.25" thickBot="1">
      <c r="A297" s="823" t="s">
        <v>534</v>
      </c>
      <c r="B297" s="817" t="s">
        <v>993</v>
      </c>
      <c r="C297" s="1047">
        <v>0.14799999999999999</v>
      </c>
      <c r="D297" s="1047">
        <v>0.14899999999999999</v>
      </c>
      <c r="E297" s="1047">
        <v>0.15</v>
      </c>
      <c r="F297" s="1048">
        <v>0.13700000000000001</v>
      </c>
    </row>
    <row r="298" spans="1:6" ht="14.25" thickBot="1">
      <c r="A298" s="823" t="s">
        <v>534</v>
      </c>
      <c r="B298" s="817" t="s">
        <v>267</v>
      </c>
      <c r="C298" s="1047">
        <v>0.13400000000000001</v>
      </c>
      <c r="D298" s="1047">
        <v>0.13400000000000001</v>
      </c>
      <c r="E298" s="1047">
        <v>0.14499999999999999</v>
      </c>
      <c r="F298" s="1048">
        <v>0.14799999999999999</v>
      </c>
    </row>
    <row r="299" spans="1:6" ht="14.25" thickBot="1">
      <c r="A299" s="823" t="s">
        <v>534</v>
      </c>
      <c r="B299" s="817" t="s">
        <v>279</v>
      </c>
      <c r="C299" s="1047">
        <v>0.15</v>
      </c>
      <c r="D299" s="1047">
        <v>0.15</v>
      </c>
      <c r="E299" s="1047">
        <v>0.15</v>
      </c>
      <c r="F299" s="1059"/>
    </row>
    <row r="300" spans="1:6" ht="14.25" thickBot="1">
      <c r="A300" s="823" t="s">
        <v>534</v>
      </c>
      <c r="B300" s="817" t="s">
        <v>994</v>
      </c>
      <c r="C300" s="1047">
        <v>0.15</v>
      </c>
      <c r="D300" s="1047">
        <v>0.15</v>
      </c>
      <c r="E300" s="1047">
        <v>0.15</v>
      </c>
      <c r="F300" s="1048">
        <v>0.15</v>
      </c>
    </row>
    <row r="301" spans="1:6" ht="14.25" thickBot="1">
      <c r="A301" s="823" t="s">
        <v>534</v>
      </c>
      <c r="B301" s="817" t="s">
        <v>299</v>
      </c>
      <c r="C301" s="1047">
        <v>0.15</v>
      </c>
      <c r="D301" s="1047">
        <v>0.15</v>
      </c>
      <c r="E301" s="1047">
        <v>0.15</v>
      </c>
      <c r="F301" s="1059"/>
    </row>
    <row r="302" spans="1:6" ht="14.25" thickBot="1">
      <c r="A302" s="823" t="s">
        <v>534</v>
      </c>
      <c r="B302" s="817" t="s">
        <v>995</v>
      </c>
      <c r="C302" s="1047">
        <v>0.15</v>
      </c>
      <c r="D302" s="1047">
        <v>0.15</v>
      </c>
      <c r="E302" s="1047">
        <v>0.15</v>
      </c>
      <c r="F302" s="1048">
        <v>0.15</v>
      </c>
    </row>
    <row r="303" spans="1:6" ht="14.25" thickBot="1">
      <c r="A303" s="823" t="s">
        <v>534</v>
      </c>
      <c r="B303" s="817" t="s">
        <v>319</v>
      </c>
      <c r="C303" s="1047">
        <v>0.15</v>
      </c>
      <c r="D303" s="1047">
        <v>0.15</v>
      </c>
      <c r="E303" s="1047">
        <v>0.15</v>
      </c>
      <c r="F303" s="1048">
        <v>0.15</v>
      </c>
    </row>
    <row r="304" spans="1:6" ht="14.25" thickBot="1">
      <c r="A304" s="823" t="s">
        <v>534</v>
      </c>
      <c r="B304" s="817" t="s">
        <v>330</v>
      </c>
      <c r="C304" s="1047">
        <v>0.15</v>
      </c>
      <c r="D304" s="1047">
        <v>0.15</v>
      </c>
      <c r="E304" s="1047">
        <v>0.15</v>
      </c>
      <c r="F304" s="1059"/>
    </row>
    <row r="305" spans="1:6" ht="14.25" thickBot="1">
      <c r="A305" s="823" t="s">
        <v>534</v>
      </c>
      <c r="B305" s="817" t="s">
        <v>996</v>
      </c>
      <c r="C305" s="1047">
        <v>0.15</v>
      </c>
      <c r="D305" s="1047">
        <v>0.15</v>
      </c>
      <c r="E305" s="1047">
        <v>0.15</v>
      </c>
      <c r="F305" s="1048">
        <v>0.14000000000000001</v>
      </c>
    </row>
    <row r="306" spans="1:6" ht="14.25" thickBot="1">
      <c r="A306" s="823" t="s">
        <v>534</v>
      </c>
      <c r="B306" s="817" t="s">
        <v>351</v>
      </c>
      <c r="C306" s="1047">
        <v>0.15</v>
      </c>
      <c r="D306" s="1047">
        <v>0.15</v>
      </c>
      <c r="E306" s="1047">
        <v>0.15</v>
      </c>
      <c r="F306" s="1059"/>
    </row>
    <row r="307" spans="1:6" ht="14.25" thickBot="1">
      <c r="A307" s="823" t="s">
        <v>534</v>
      </c>
      <c r="B307" s="817" t="s">
        <v>997</v>
      </c>
      <c r="C307" s="1047">
        <v>0.15</v>
      </c>
      <c r="D307" s="1047">
        <v>0.15</v>
      </c>
      <c r="E307" s="1047">
        <v>0.15</v>
      </c>
      <c r="F307" s="1048">
        <v>0.14299999999999999</v>
      </c>
    </row>
    <row r="308" spans="1:6" ht="14.25" thickBot="1">
      <c r="A308" s="823" t="s">
        <v>534</v>
      </c>
      <c r="B308" s="817" t="s">
        <v>371</v>
      </c>
      <c r="C308" s="1047">
        <v>0.15</v>
      </c>
      <c r="D308" s="1047">
        <v>0.15</v>
      </c>
      <c r="E308" s="1047">
        <v>0.15</v>
      </c>
      <c r="F308" s="1048">
        <v>0.15</v>
      </c>
    </row>
    <row r="309" spans="1:6" ht="14.25" thickBot="1">
      <c r="A309" s="823" t="s">
        <v>534</v>
      </c>
      <c r="B309" s="817" t="s">
        <v>381</v>
      </c>
      <c r="C309" s="1047">
        <v>0.15</v>
      </c>
      <c r="D309" s="1047">
        <v>0.15</v>
      </c>
      <c r="E309" s="1047">
        <v>0.15</v>
      </c>
      <c r="F309" s="1059"/>
    </row>
    <row r="310" spans="1:6" ht="14.25" thickBot="1">
      <c r="A310" s="823" t="s">
        <v>534</v>
      </c>
      <c r="B310" s="817" t="s">
        <v>998</v>
      </c>
      <c r="C310" s="1047">
        <v>0.15</v>
      </c>
      <c r="D310" s="1047">
        <v>0.15</v>
      </c>
      <c r="E310" s="1047">
        <v>0.15</v>
      </c>
      <c r="F310" s="1048">
        <v>0.13700000000000001</v>
      </c>
    </row>
    <row r="311" spans="1:6" ht="14.25" thickBot="1">
      <c r="A311" s="823" t="s">
        <v>534</v>
      </c>
      <c r="B311" s="817" t="s">
        <v>999</v>
      </c>
      <c r="C311" s="1047">
        <v>0.15</v>
      </c>
      <c r="D311" s="1047">
        <v>0.15</v>
      </c>
      <c r="E311" s="1047">
        <v>0.15</v>
      </c>
      <c r="F311" s="1048">
        <v>0.15</v>
      </c>
    </row>
    <row r="312" spans="1:6" ht="14.25" thickBot="1">
      <c r="A312" s="823" t="s">
        <v>534</v>
      </c>
      <c r="B312" s="817" t="s">
        <v>407</v>
      </c>
      <c r="C312" s="1047">
        <v>0.15</v>
      </c>
      <c r="D312" s="1047">
        <v>0.15</v>
      </c>
      <c r="E312" s="1047">
        <v>0.15</v>
      </c>
      <c r="F312" s="1048">
        <v>0.1</v>
      </c>
    </row>
    <row r="313" spans="1:6" ht="14.25" thickBot="1">
      <c r="A313" s="823" t="s">
        <v>534</v>
      </c>
      <c r="B313" s="817" t="s">
        <v>1000</v>
      </c>
      <c r="C313" s="1047">
        <v>0.15</v>
      </c>
      <c r="D313" s="1047">
        <v>0.15</v>
      </c>
      <c r="E313" s="1047">
        <v>0.15</v>
      </c>
      <c r="F313" s="1048">
        <v>0.15</v>
      </c>
    </row>
    <row r="314" spans="1:6" ht="24.75" thickBot="1">
      <c r="A314" s="823" t="s">
        <v>534</v>
      </c>
      <c r="B314" s="817" t="s">
        <v>1001</v>
      </c>
      <c r="C314" s="1060"/>
      <c r="D314" s="1060"/>
      <c r="E314" s="1060"/>
      <c r="F314" s="1048">
        <v>0.05</v>
      </c>
    </row>
    <row r="315" spans="1:6" ht="24.75" thickBot="1">
      <c r="A315" s="823" t="s">
        <v>534</v>
      </c>
      <c r="B315" s="817" t="s">
        <v>1002</v>
      </c>
      <c r="C315" s="1060"/>
      <c r="D315" s="1060"/>
      <c r="E315" s="1060"/>
      <c r="F315" s="1048">
        <v>0.05</v>
      </c>
    </row>
    <row r="316" spans="1:6" ht="24.75" thickBot="1">
      <c r="A316" s="833" t="s">
        <v>534</v>
      </c>
      <c r="B316" s="829" t="s">
        <v>1003</v>
      </c>
      <c r="C316" s="1057"/>
      <c r="D316" s="1057"/>
      <c r="E316" s="1057"/>
      <c r="F316" s="1050">
        <v>0.05</v>
      </c>
    </row>
    <row r="317" spans="1:6" ht="14.25" thickBot="1">
      <c r="A317" s="823" t="s">
        <v>1004</v>
      </c>
      <c r="B317" s="824" t="s">
        <v>1005</v>
      </c>
      <c r="C317" s="1045">
        <v>0.15</v>
      </c>
      <c r="D317" s="1045">
        <v>0.15</v>
      </c>
      <c r="E317" s="1045">
        <v>0.15</v>
      </c>
      <c r="F317" s="1046">
        <v>0.15</v>
      </c>
    </row>
    <row r="318" spans="1:6" ht="14.25" thickBot="1">
      <c r="A318" s="823" t="s">
        <v>1004</v>
      </c>
      <c r="B318" s="817" t="s">
        <v>1006</v>
      </c>
      <c r="C318" s="1047">
        <v>0.107</v>
      </c>
      <c r="D318" s="1047">
        <v>0.11</v>
      </c>
      <c r="E318" s="1047">
        <v>0.112</v>
      </c>
      <c r="F318" s="1059"/>
    </row>
    <row r="319" spans="1:6" ht="14.25" thickBot="1">
      <c r="A319" s="823" t="s">
        <v>1004</v>
      </c>
      <c r="B319" s="817" t="s">
        <v>1007</v>
      </c>
      <c r="C319" s="1047">
        <v>0.15</v>
      </c>
      <c r="D319" s="1047">
        <v>0.15</v>
      </c>
      <c r="E319" s="1047">
        <v>0.15</v>
      </c>
      <c r="F319" s="1048">
        <v>0.15</v>
      </c>
    </row>
    <row r="320" spans="1:6" ht="14.25" thickBot="1">
      <c r="A320" s="823" t="s">
        <v>1004</v>
      </c>
      <c r="B320" s="817" t="s">
        <v>223</v>
      </c>
      <c r="C320" s="1047">
        <v>0.15</v>
      </c>
      <c r="D320" s="1047">
        <v>0.15</v>
      </c>
      <c r="E320" s="1047">
        <v>0.15</v>
      </c>
      <c r="F320" s="1059"/>
    </row>
    <row r="321" spans="1:6" ht="14.25" thickBot="1">
      <c r="A321" s="823" t="s">
        <v>1004</v>
      </c>
      <c r="B321" s="817" t="s">
        <v>1008</v>
      </c>
      <c r="C321" s="1047">
        <v>0.15</v>
      </c>
      <c r="D321" s="1047">
        <v>0.15</v>
      </c>
      <c r="E321" s="1047">
        <v>0.15</v>
      </c>
      <c r="F321" s="1059"/>
    </row>
    <row r="322" spans="1:6" ht="14.25" thickBot="1">
      <c r="A322" s="823" t="s">
        <v>1004</v>
      </c>
      <c r="B322" s="817" t="s">
        <v>1009</v>
      </c>
      <c r="C322" s="1047">
        <v>0.15</v>
      </c>
      <c r="D322" s="1047">
        <v>0.15</v>
      </c>
      <c r="E322" s="1047">
        <v>0.15</v>
      </c>
      <c r="F322" s="1048">
        <v>0.15</v>
      </c>
    </row>
    <row r="323" spans="1:6" ht="14.25" thickBot="1">
      <c r="A323" s="823" t="s">
        <v>1004</v>
      </c>
      <c r="B323" s="817" t="s">
        <v>1010</v>
      </c>
      <c r="C323" s="1047">
        <v>0.15</v>
      </c>
      <c r="D323" s="1047">
        <v>0.15</v>
      </c>
      <c r="E323" s="1047">
        <v>0.15</v>
      </c>
      <c r="F323" s="1059"/>
    </row>
    <row r="324" spans="1:6" ht="14.25" thickBot="1">
      <c r="A324" s="823" t="s">
        <v>1004</v>
      </c>
      <c r="B324" s="817" t="s">
        <v>1011</v>
      </c>
      <c r="C324" s="1047">
        <v>0.15</v>
      </c>
      <c r="D324" s="1047">
        <v>0.15</v>
      </c>
      <c r="E324" s="1047">
        <v>0.15</v>
      </c>
      <c r="F324" s="1059"/>
    </row>
    <row r="325" spans="1:6" ht="14.25" thickBot="1">
      <c r="A325" s="823" t="s">
        <v>1004</v>
      </c>
      <c r="B325" s="817" t="s">
        <v>1012</v>
      </c>
      <c r="C325" s="1047">
        <v>0.15</v>
      </c>
      <c r="D325" s="1047">
        <v>0.15</v>
      </c>
      <c r="E325" s="1047">
        <v>0.15</v>
      </c>
      <c r="F325" s="1048">
        <v>0.14699999999999999</v>
      </c>
    </row>
    <row r="326" spans="1:6" ht="14.25" thickBot="1">
      <c r="A326" s="823" t="s">
        <v>1004</v>
      </c>
      <c r="B326" s="817" t="s">
        <v>290</v>
      </c>
      <c r="C326" s="1047">
        <v>0.15</v>
      </c>
      <c r="D326" s="1047">
        <v>0.15</v>
      </c>
      <c r="E326" s="1047">
        <v>0.15</v>
      </c>
      <c r="F326" s="1059"/>
    </row>
    <row r="327" spans="1:6" ht="14.25" thickBot="1">
      <c r="A327" s="823" t="s">
        <v>1004</v>
      </c>
      <c r="B327" s="817" t="s">
        <v>1013</v>
      </c>
      <c r="C327" s="1047">
        <v>0.15</v>
      </c>
      <c r="D327" s="1047">
        <v>0.15</v>
      </c>
      <c r="E327" s="1047">
        <v>0.15</v>
      </c>
      <c r="F327" s="1048">
        <v>0.15</v>
      </c>
    </row>
    <row r="328" spans="1:6" ht="14.25" thickBot="1">
      <c r="A328" s="823" t="s">
        <v>1004</v>
      </c>
      <c r="B328" s="817" t="s">
        <v>310</v>
      </c>
      <c r="C328" s="1047">
        <v>0.15</v>
      </c>
      <c r="D328" s="1047">
        <v>0.15</v>
      </c>
      <c r="E328" s="1047">
        <v>0.15</v>
      </c>
      <c r="F328" s="1048">
        <v>0.14099999999999999</v>
      </c>
    </row>
    <row r="329" spans="1:6" ht="14.25" thickBot="1">
      <c r="A329" s="823" t="s">
        <v>1004</v>
      </c>
      <c r="B329" s="817" t="s">
        <v>320</v>
      </c>
      <c r="C329" s="1047">
        <v>0.15</v>
      </c>
      <c r="D329" s="1047">
        <v>0.15</v>
      </c>
      <c r="E329" s="1047">
        <v>0.15</v>
      </c>
      <c r="F329" s="1048">
        <v>0.15</v>
      </c>
    </row>
    <row r="330" spans="1:6" ht="14.25" thickBot="1">
      <c r="A330" s="823" t="s">
        <v>1004</v>
      </c>
      <c r="B330" s="817" t="s">
        <v>331</v>
      </c>
      <c r="C330" s="1047">
        <v>0.15</v>
      </c>
      <c r="D330" s="1047">
        <v>0.15</v>
      </c>
      <c r="E330" s="1047">
        <v>0.15</v>
      </c>
      <c r="F330" s="1059"/>
    </row>
    <row r="331" spans="1:6" ht="14.25" thickBot="1">
      <c r="A331" s="823" t="s">
        <v>1004</v>
      </c>
      <c r="B331" s="817" t="s">
        <v>1014</v>
      </c>
      <c r="C331" s="1047">
        <v>0.15</v>
      </c>
      <c r="D331" s="1047">
        <v>0.15</v>
      </c>
      <c r="E331" s="1047">
        <v>0.15</v>
      </c>
      <c r="F331" s="1048">
        <v>0.15</v>
      </c>
    </row>
    <row r="332" spans="1:6" ht="14.25" thickBot="1">
      <c r="A332" s="823" t="s">
        <v>1004</v>
      </c>
      <c r="B332" s="817" t="s">
        <v>352</v>
      </c>
      <c r="C332" s="1047">
        <v>0.15</v>
      </c>
      <c r="D332" s="1047">
        <v>0.15</v>
      </c>
      <c r="E332" s="1047">
        <v>0.15</v>
      </c>
      <c r="F332" s="1048">
        <v>0.15</v>
      </c>
    </row>
    <row r="333" spans="1:6" ht="14.25" thickBot="1">
      <c r="A333" s="823" t="s">
        <v>1004</v>
      </c>
      <c r="B333" s="817" t="s">
        <v>1015</v>
      </c>
      <c r="C333" s="1047">
        <v>0.15</v>
      </c>
      <c r="D333" s="1047">
        <v>0.15</v>
      </c>
      <c r="E333" s="1047">
        <v>0.15</v>
      </c>
      <c r="F333" s="1048">
        <v>0.14099999999999999</v>
      </c>
    </row>
    <row r="334" spans="1:6" ht="14.25" thickBot="1">
      <c r="A334" s="823" t="s">
        <v>1004</v>
      </c>
      <c r="B334" s="817" t="s">
        <v>372</v>
      </c>
      <c r="C334" s="1047">
        <v>0.15</v>
      </c>
      <c r="D334" s="1047">
        <v>0.15</v>
      </c>
      <c r="E334" s="1047">
        <v>0.15</v>
      </c>
      <c r="F334" s="1048">
        <v>0.15</v>
      </c>
    </row>
    <row r="335" spans="1:6" ht="14.25" thickBot="1">
      <c r="A335" s="823" t="s">
        <v>1004</v>
      </c>
      <c r="B335" s="817" t="s">
        <v>382</v>
      </c>
      <c r="C335" s="1047">
        <v>0.15</v>
      </c>
      <c r="D335" s="1047">
        <v>0.15</v>
      </c>
      <c r="E335" s="1047">
        <v>0.15</v>
      </c>
      <c r="F335" s="1059"/>
    </row>
    <row r="336" spans="1:6" ht="14.25" thickBot="1">
      <c r="A336" s="823" t="s">
        <v>1004</v>
      </c>
      <c r="B336" s="817" t="s">
        <v>1016</v>
      </c>
      <c r="C336" s="1047">
        <v>0.15</v>
      </c>
      <c r="D336" s="1047">
        <v>0.15</v>
      </c>
      <c r="E336" s="1047">
        <v>0.15</v>
      </c>
      <c r="F336" s="1048">
        <v>0.11799999999999999</v>
      </c>
    </row>
    <row r="337" spans="1:6" ht="14.25" thickBot="1">
      <c r="A337" s="833" t="s">
        <v>1004</v>
      </c>
      <c r="B337" s="829" t="s">
        <v>400</v>
      </c>
      <c r="C337" s="1057"/>
      <c r="D337" s="1057"/>
      <c r="E337" s="1057"/>
      <c r="F337" s="1050">
        <v>0.14299999999999999</v>
      </c>
    </row>
    <row r="338" spans="1:6" ht="14.25" thickBot="1">
      <c r="A338" s="823" t="s">
        <v>1017</v>
      </c>
      <c r="B338" s="824" t="s">
        <v>1018</v>
      </c>
      <c r="C338" s="1045">
        <v>0.15</v>
      </c>
      <c r="D338" s="1045">
        <v>0.15</v>
      </c>
      <c r="E338" s="1045">
        <v>0.15</v>
      </c>
      <c r="F338" s="1062"/>
    </row>
    <row r="339" spans="1:6" ht="14.25" thickBot="1">
      <c r="A339" s="823" t="s">
        <v>1017</v>
      </c>
      <c r="B339" s="817" t="s">
        <v>1019</v>
      </c>
      <c r="C339" s="1047">
        <v>0.15</v>
      </c>
      <c r="D339" s="1047">
        <v>0.15</v>
      </c>
      <c r="E339" s="1047">
        <v>0.15</v>
      </c>
      <c r="F339" s="1059"/>
    </row>
    <row r="340" spans="1:6" ht="14.25" thickBot="1">
      <c r="A340" s="823" t="s">
        <v>1017</v>
      </c>
      <c r="B340" s="817" t="s">
        <v>1020</v>
      </c>
      <c r="C340" s="1047">
        <v>0.15</v>
      </c>
      <c r="D340" s="1047">
        <v>0.15</v>
      </c>
      <c r="E340" s="1047">
        <v>0.15</v>
      </c>
      <c r="F340" s="1059"/>
    </row>
    <row r="341" spans="1:6" ht="14.25" thickBot="1">
      <c r="A341" s="823" t="s">
        <v>1017</v>
      </c>
      <c r="B341" s="817" t="s">
        <v>1021</v>
      </c>
      <c r="C341" s="1047">
        <v>0.15</v>
      </c>
      <c r="D341" s="1047">
        <v>0.15</v>
      </c>
      <c r="E341" s="1047">
        <v>0.15</v>
      </c>
      <c r="F341" s="1048">
        <v>0.15</v>
      </c>
    </row>
    <row r="342" spans="1:6" ht="14.25" thickBot="1">
      <c r="A342" s="823" t="s">
        <v>1017</v>
      </c>
      <c r="B342" s="817" t="s">
        <v>1022</v>
      </c>
      <c r="C342" s="1047">
        <v>0.15</v>
      </c>
      <c r="D342" s="1047">
        <v>0.15</v>
      </c>
      <c r="E342" s="1047">
        <v>0.15</v>
      </c>
      <c r="F342" s="1048">
        <v>0.15</v>
      </c>
    </row>
    <row r="343" spans="1:6" ht="14.25" thickBot="1">
      <c r="A343" s="823" t="s">
        <v>1017</v>
      </c>
      <c r="B343" s="817" t="s">
        <v>1023</v>
      </c>
      <c r="C343" s="1047">
        <v>0.15</v>
      </c>
      <c r="D343" s="1047">
        <v>0.15</v>
      </c>
      <c r="E343" s="1047">
        <v>0.15</v>
      </c>
      <c r="F343" s="1048">
        <v>0.15</v>
      </c>
    </row>
    <row r="344" spans="1:6" ht="14.2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43"/>
  <dimension ref="A1:IW63"/>
  <sheetViews>
    <sheetView workbookViewId="0">
      <selection activeCell="I1" sqref="I1"/>
    </sheetView>
  </sheetViews>
  <sheetFormatPr defaultRowHeight="13.5"/>
  <cols>
    <col min="1" max="1" width="4.875" style="1621" customWidth="1"/>
    <col min="2" max="2" width="13.25" style="1627" customWidth="1"/>
    <col min="3" max="3" width="15.625" style="1627" customWidth="1"/>
    <col min="4" max="4" width="9.375" style="1627" bestFit="1" customWidth="1"/>
    <col min="5" max="5" width="13.5" style="1627" customWidth="1"/>
    <col min="6" max="6" width="9" style="1627"/>
    <col min="7" max="7" width="9.375" style="1627" bestFit="1" customWidth="1"/>
    <col min="8" max="8" width="12.25" style="1627" customWidth="1"/>
    <col min="9" max="9" width="9" style="1627"/>
    <col min="10" max="10" width="9.375" style="1627" bestFit="1" customWidth="1"/>
    <col min="11" max="11" width="4" style="1621" customWidth="1"/>
    <col min="12" max="12" width="5.125" style="1627" customWidth="1"/>
    <col min="13" max="13" width="13.75" style="1627" customWidth="1"/>
    <col min="14" max="256" width="9" style="1627"/>
    <col min="257" max="257" width="4.875" style="1618" customWidth="1"/>
    <col min="258" max="258" width="13.25" style="1618" customWidth="1"/>
    <col min="259" max="259" width="15.625" style="1618" customWidth="1"/>
    <col min="260" max="260" width="9.375" style="1618" bestFit="1" customWidth="1"/>
    <col min="261" max="261" width="13.5" style="1618" customWidth="1"/>
    <col min="262" max="262" width="9" style="1618"/>
    <col min="263" max="263" width="9.375" style="1618" bestFit="1" customWidth="1"/>
    <col min="264" max="265" width="9" style="1618"/>
    <col min="266" max="266" width="9.375" style="1618" bestFit="1" customWidth="1"/>
    <col min="267" max="267" width="4" style="1618" customWidth="1"/>
    <col min="268" max="268" width="5.125" style="1618" customWidth="1"/>
    <col min="269" max="269" width="13.75" style="1618" customWidth="1"/>
    <col min="270" max="512" width="9" style="1618"/>
    <col min="513" max="513" width="4.875" style="1618" customWidth="1"/>
    <col min="514" max="514" width="13.25" style="1618" customWidth="1"/>
    <col min="515" max="515" width="15.625" style="1618" customWidth="1"/>
    <col min="516" max="516" width="9.375" style="1618" bestFit="1" customWidth="1"/>
    <col min="517" max="517" width="13.5" style="1618" customWidth="1"/>
    <col min="518" max="518" width="9" style="1618"/>
    <col min="519" max="519" width="9.375" style="1618" bestFit="1" customWidth="1"/>
    <col min="520" max="521" width="9" style="1618"/>
    <col min="522" max="522" width="9.375" style="1618" bestFit="1" customWidth="1"/>
    <col min="523" max="523" width="4" style="1618" customWidth="1"/>
    <col min="524" max="524" width="5.125" style="1618" customWidth="1"/>
    <col min="525" max="525" width="13.75" style="1618" customWidth="1"/>
    <col min="526" max="768" width="9" style="1618"/>
    <col min="769" max="769" width="4.875" style="1618" customWidth="1"/>
    <col min="770" max="770" width="13.25" style="1618" customWidth="1"/>
    <col min="771" max="771" width="15.625" style="1618" customWidth="1"/>
    <col min="772" max="772" width="9.375" style="1618" bestFit="1" customWidth="1"/>
    <col min="773" max="773" width="13.5" style="1618" customWidth="1"/>
    <col min="774" max="774" width="9" style="1618"/>
    <col min="775" max="775" width="9.375" style="1618" bestFit="1" customWidth="1"/>
    <col min="776" max="777" width="9" style="1618"/>
    <col min="778" max="778" width="9.375" style="1618" bestFit="1" customWidth="1"/>
    <col min="779" max="779" width="4" style="1618" customWidth="1"/>
    <col min="780" max="780" width="5.125" style="1618" customWidth="1"/>
    <col min="781" max="781" width="13.75" style="1618" customWidth="1"/>
    <col min="782" max="1024" width="9" style="1618"/>
    <col min="1025" max="1025" width="4.875" style="1618" customWidth="1"/>
    <col min="1026" max="1026" width="13.25" style="1618" customWidth="1"/>
    <col min="1027" max="1027" width="15.625" style="1618" customWidth="1"/>
    <col min="1028" max="1028" width="9.375" style="1618" bestFit="1" customWidth="1"/>
    <col min="1029" max="1029" width="13.5" style="1618" customWidth="1"/>
    <col min="1030" max="1030" width="9" style="1618"/>
    <col min="1031" max="1031" width="9.375" style="1618" bestFit="1" customWidth="1"/>
    <col min="1032" max="1033" width="9" style="1618"/>
    <col min="1034" max="1034" width="9.375" style="1618" bestFit="1" customWidth="1"/>
    <col min="1035" max="1035" width="4" style="1618" customWidth="1"/>
    <col min="1036" max="1036" width="5.125" style="1618" customWidth="1"/>
    <col min="1037" max="1037" width="13.75" style="1618" customWidth="1"/>
    <col min="1038" max="1280" width="9" style="1618"/>
    <col min="1281" max="1281" width="4.875" style="1618" customWidth="1"/>
    <col min="1282" max="1282" width="13.25" style="1618" customWidth="1"/>
    <col min="1283" max="1283" width="15.625" style="1618" customWidth="1"/>
    <col min="1284" max="1284" width="9.375" style="1618" bestFit="1" customWidth="1"/>
    <col min="1285" max="1285" width="13.5" style="1618" customWidth="1"/>
    <col min="1286" max="1286" width="9" style="1618"/>
    <col min="1287" max="1287" width="9.375" style="1618" bestFit="1" customWidth="1"/>
    <col min="1288" max="1289" width="9" style="1618"/>
    <col min="1290" max="1290" width="9.375" style="1618" bestFit="1" customWidth="1"/>
    <col min="1291" max="1291" width="4" style="1618" customWidth="1"/>
    <col min="1292" max="1292" width="5.125" style="1618" customWidth="1"/>
    <col min="1293" max="1293" width="13.75" style="1618" customWidth="1"/>
    <col min="1294" max="1536" width="9" style="1618"/>
    <col min="1537" max="1537" width="4.875" style="1618" customWidth="1"/>
    <col min="1538" max="1538" width="13.25" style="1618" customWidth="1"/>
    <col min="1539" max="1539" width="15.625" style="1618" customWidth="1"/>
    <col min="1540" max="1540" width="9.375" style="1618" bestFit="1" customWidth="1"/>
    <col min="1541" max="1541" width="13.5" style="1618" customWidth="1"/>
    <col min="1542" max="1542" width="9" style="1618"/>
    <col min="1543" max="1543" width="9.375" style="1618" bestFit="1" customWidth="1"/>
    <col min="1544" max="1545" width="9" style="1618"/>
    <col min="1546" max="1546" width="9.375" style="1618" bestFit="1" customWidth="1"/>
    <col min="1547" max="1547" width="4" style="1618" customWidth="1"/>
    <col min="1548" max="1548" width="5.125" style="1618" customWidth="1"/>
    <col min="1549" max="1549" width="13.75" style="1618" customWidth="1"/>
    <col min="1550" max="1792" width="9" style="1618"/>
    <col min="1793" max="1793" width="4.875" style="1618" customWidth="1"/>
    <col min="1794" max="1794" width="13.25" style="1618" customWidth="1"/>
    <col min="1795" max="1795" width="15.625" style="1618" customWidth="1"/>
    <col min="1796" max="1796" width="9.375" style="1618" bestFit="1" customWidth="1"/>
    <col min="1797" max="1797" width="13.5" style="1618" customWidth="1"/>
    <col min="1798" max="1798" width="9" style="1618"/>
    <col min="1799" max="1799" width="9.375" style="1618" bestFit="1" customWidth="1"/>
    <col min="1800" max="1801" width="9" style="1618"/>
    <col min="1802" max="1802" width="9.375" style="1618" bestFit="1" customWidth="1"/>
    <col min="1803" max="1803" width="4" style="1618" customWidth="1"/>
    <col min="1804" max="1804" width="5.125" style="1618" customWidth="1"/>
    <col min="1805" max="1805" width="13.75" style="1618" customWidth="1"/>
    <col min="1806" max="2048" width="9" style="1618"/>
    <col min="2049" max="2049" width="4.875" style="1618" customWidth="1"/>
    <col min="2050" max="2050" width="13.25" style="1618" customWidth="1"/>
    <col min="2051" max="2051" width="15.625" style="1618" customWidth="1"/>
    <col min="2052" max="2052" width="9.375" style="1618" bestFit="1" customWidth="1"/>
    <col min="2053" max="2053" width="13.5" style="1618" customWidth="1"/>
    <col min="2054" max="2054" width="9" style="1618"/>
    <col min="2055" max="2055" width="9.375" style="1618" bestFit="1" customWidth="1"/>
    <col min="2056" max="2057" width="9" style="1618"/>
    <col min="2058" max="2058" width="9.375" style="1618" bestFit="1" customWidth="1"/>
    <col min="2059" max="2059" width="4" style="1618" customWidth="1"/>
    <col min="2060" max="2060" width="5.125" style="1618" customWidth="1"/>
    <col min="2061" max="2061" width="13.75" style="1618" customWidth="1"/>
    <col min="2062" max="2304" width="9" style="1618"/>
    <col min="2305" max="2305" width="4.875" style="1618" customWidth="1"/>
    <col min="2306" max="2306" width="13.25" style="1618" customWidth="1"/>
    <col min="2307" max="2307" width="15.625" style="1618" customWidth="1"/>
    <col min="2308" max="2308" width="9.375" style="1618" bestFit="1" customWidth="1"/>
    <col min="2309" max="2309" width="13.5" style="1618" customWidth="1"/>
    <col min="2310" max="2310" width="9" style="1618"/>
    <col min="2311" max="2311" width="9.375" style="1618" bestFit="1" customWidth="1"/>
    <col min="2312" max="2313" width="9" style="1618"/>
    <col min="2314" max="2314" width="9.375" style="1618" bestFit="1" customWidth="1"/>
    <col min="2315" max="2315" width="4" style="1618" customWidth="1"/>
    <col min="2316" max="2316" width="5.125" style="1618" customWidth="1"/>
    <col min="2317" max="2317" width="13.75" style="1618" customWidth="1"/>
    <col min="2318" max="2560" width="9" style="1618"/>
    <col min="2561" max="2561" width="4.875" style="1618" customWidth="1"/>
    <col min="2562" max="2562" width="13.25" style="1618" customWidth="1"/>
    <col min="2563" max="2563" width="15.625" style="1618" customWidth="1"/>
    <col min="2564" max="2564" width="9.375" style="1618" bestFit="1" customWidth="1"/>
    <col min="2565" max="2565" width="13.5" style="1618" customWidth="1"/>
    <col min="2566" max="2566" width="9" style="1618"/>
    <col min="2567" max="2567" width="9.375" style="1618" bestFit="1" customWidth="1"/>
    <col min="2568" max="2569" width="9" style="1618"/>
    <col min="2570" max="2570" width="9.375" style="1618" bestFit="1" customWidth="1"/>
    <col min="2571" max="2571" width="4" style="1618" customWidth="1"/>
    <col min="2572" max="2572" width="5.125" style="1618" customWidth="1"/>
    <col min="2573" max="2573" width="13.75" style="1618" customWidth="1"/>
    <col min="2574" max="2816" width="9" style="1618"/>
    <col min="2817" max="2817" width="4.875" style="1618" customWidth="1"/>
    <col min="2818" max="2818" width="13.25" style="1618" customWidth="1"/>
    <col min="2819" max="2819" width="15.625" style="1618" customWidth="1"/>
    <col min="2820" max="2820" width="9.375" style="1618" bestFit="1" customWidth="1"/>
    <col min="2821" max="2821" width="13.5" style="1618" customWidth="1"/>
    <col min="2822" max="2822" width="9" style="1618"/>
    <col min="2823" max="2823" width="9.375" style="1618" bestFit="1" customWidth="1"/>
    <col min="2824" max="2825" width="9" style="1618"/>
    <col min="2826" max="2826" width="9.375" style="1618" bestFit="1" customWidth="1"/>
    <col min="2827" max="2827" width="4" style="1618" customWidth="1"/>
    <col min="2828" max="2828" width="5.125" style="1618" customWidth="1"/>
    <col min="2829" max="2829" width="13.75" style="1618" customWidth="1"/>
    <col min="2830" max="3072" width="9" style="1618"/>
    <col min="3073" max="3073" width="4.875" style="1618" customWidth="1"/>
    <col min="3074" max="3074" width="13.25" style="1618" customWidth="1"/>
    <col min="3075" max="3075" width="15.625" style="1618" customWidth="1"/>
    <col min="3076" max="3076" width="9.375" style="1618" bestFit="1" customWidth="1"/>
    <col min="3077" max="3077" width="13.5" style="1618" customWidth="1"/>
    <col min="3078" max="3078" width="9" style="1618"/>
    <col min="3079" max="3079" width="9.375" style="1618" bestFit="1" customWidth="1"/>
    <col min="3080" max="3081" width="9" style="1618"/>
    <col min="3082" max="3082" width="9.375" style="1618" bestFit="1" customWidth="1"/>
    <col min="3083" max="3083" width="4" style="1618" customWidth="1"/>
    <col min="3084" max="3084" width="5.125" style="1618" customWidth="1"/>
    <col min="3085" max="3085" width="13.75" style="1618" customWidth="1"/>
    <col min="3086" max="3328" width="9" style="1618"/>
    <col min="3329" max="3329" width="4.875" style="1618" customWidth="1"/>
    <col min="3330" max="3330" width="13.25" style="1618" customWidth="1"/>
    <col min="3331" max="3331" width="15.625" style="1618" customWidth="1"/>
    <col min="3332" max="3332" width="9.375" style="1618" bestFit="1" customWidth="1"/>
    <col min="3333" max="3333" width="13.5" style="1618" customWidth="1"/>
    <col min="3334" max="3334" width="9" style="1618"/>
    <col min="3335" max="3335" width="9.375" style="1618" bestFit="1" customWidth="1"/>
    <col min="3336" max="3337" width="9" style="1618"/>
    <col min="3338" max="3338" width="9.375" style="1618" bestFit="1" customWidth="1"/>
    <col min="3339" max="3339" width="4" style="1618" customWidth="1"/>
    <col min="3340" max="3340" width="5.125" style="1618" customWidth="1"/>
    <col min="3341" max="3341" width="13.75" style="1618" customWidth="1"/>
    <col min="3342" max="3584" width="9" style="1618"/>
    <col min="3585" max="3585" width="4.875" style="1618" customWidth="1"/>
    <col min="3586" max="3586" width="13.25" style="1618" customWidth="1"/>
    <col min="3587" max="3587" width="15.625" style="1618" customWidth="1"/>
    <col min="3588" max="3588" width="9.375" style="1618" bestFit="1" customWidth="1"/>
    <col min="3589" max="3589" width="13.5" style="1618" customWidth="1"/>
    <col min="3590" max="3590" width="9" style="1618"/>
    <col min="3591" max="3591" width="9.375" style="1618" bestFit="1" customWidth="1"/>
    <col min="3592" max="3593" width="9" style="1618"/>
    <col min="3594" max="3594" width="9.375" style="1618" bestFit="1" customWidth="1"/>
    <col min="3595" max="3595" width="4" style="1618" customWidth="1"/>
    <col min="3596" max="3596" width="5.125" style="1618" customWidth="1"/>
    <col min="3597" max="3597" width="13.75" style="1618" customWidth="1"/>
    <col min="3598" max="3840" width="9" style="1618"/>
    <col min="3841" max="3841" width="4.875" style="1618" customWidth="1"/>
    <col min="3842" max="3842" width="13.25" style="1618" customWidth="1"/>
    <col min="3843" max="3843" width="15.625" style="1618" customWidth="1"/>
    <col min="3844" max="3844" width="9.375" style="1618" bestFit="1" customWidth="1"/>
    <col min="3845" max="3845" width="13.5" style="1618" customWidth="1"/>
    <col min="3846" max="3846" width="9" style="1618"/>
    <col min="3847" max="3847" width="9.375" style="1618" bestFit="1" customWidth="1"/>
    <col min="3848" max="3849" width="9" style="1618"/>
    <col min="3850" max="3850" width="9.375" style="1618" bestFit="1" customWidth="1"/>
    <col min="3851" max="3851" width="4" style="1618" customWidth="1"/>
    <col min="3852" max="3852" width="5.125" style="1618" customWidth="1"/>
    <col min="3853" max="3853" width="13.75" style="1618" customWidth="1"/>
    <col min="3854" max="4096" width="9" style="1618"/>
    <col min="4097" max="4097" width="4.875" style="1618" customWidth="1"/>
    <col min="4098" max="4098" width="13.25" style="1618" customWidth="1"/>
    <col min="4099" max="4099" width="15.625" style="1618" customWidth="1"/>
    <col min="4100" max="4100" width="9.375" style="1618" bestFit="1" customWidth="1"/>
    <col min="4101" max="4101" width="13.5" style="1618" customWidth="1"/>
    <col min="4102" max="4102" width="9" style="1618"/>
    <col min="4103" max="4103" width="9.375" style="1618" bestFit="1" customWidth="1"/>
    <col min="4104" max="4105" width="9" style="1618"/>
    <col min="4106" max="4106" width="9.375" style="1618" bestFit="1" customWidth="1"/>
    <col min="4107" max="4107" width="4" style="1618" customWidth="1"/>
    <col min="4108" max="4108" width="5.125" style="1618" customWidth="1"/>
    <col min="4109" max="4109" width="13.75" style="1618" customWidth="1"/>
    <col min="4110" max="4352" width="9" style="1618"/>
    <col min="4353" max="4353" width="4.875" style="1618" customWidth="1"/>
    <col min="4354" max="4354" width="13.25" style="1618" customWidth="1"/>
    <col min="4355" max="4355" width="15.625" style="1618" customWidth="1"/>
    <col min="4356" max="4356" width="9.375" style="1618" bestFit="1" customWidth="1"/>
    <col min="4357" max="4357" width="13.5" style="1618" customWidth="1"/>
    <col min="4358" max="4358" width="9" style="1618"/>
    <col min="4359" max="4359" width="9.375" style="1618" bestFit="1" customWidth="1"/>
    <col min="4360" max="4361" width="9" style="1618"/>
    <col min="4362" max="4362" width="9.375" style="1618" bestFit="1" customWidth="1"/>
    <col min="4363" max="4363" width="4" style="1618" customWidth="1"/>
    <col min="4364" max="4364" width="5.125" style="1618" customWidth="1"/>
    <col min="4365" max="4365" width="13.75" style="1618" customWidth="1"/>
    <col min="4366" max="4608" width="9" style="1618"/>
    <col min="4609" max="4609" width="4.875" style="1618" customWidth="1"/>
    <col min="4610" max="4610" width="13.25" style="1618" customWidth="1"/>
    <col min="4611" max="4611" width="15.625" style="1618" customWidth="1"/>
    <col min="4612" max="4612" width="9.375" style="1618" bestFit="1" customWidth="1"/>
    <col min="4613" max="4613" width="13.5" style="1618" customWidth="1"/>
    <col min="4614" max="4614" width="9" style="1618"/>
    <col min="4615" max="4615" width="9.375" style="1618" bestFit="1" customWidth="1"/>
    <col min="4616" max="4617" width="9" style="1618"/>
    <col min="4618" max="4618" width="9.375" style="1618" bestFit="1" customWidth="1"/>
    <col min="4619" max="4619" width="4" style="1618" customWidth="1"/>
    <col min="4620" max="4620" width="5.125" style="1618" customWidth="1"/>
    <col min="4621" max="4621" width="13.75" style="1618" customWidth="1"/>
    <col min="4622" max="4864" width="9" style="1618"/>
    <col min="4865" max="4865" width="4.875" style="1618" customWidth="1"/>
    <col min="4866" max="4866" width="13.25" style="1618" customWidth="1"/>
    <col min="4867" max="4867" width="15.625" style="1618" customWidth="1"/>
    <col min="4868" max="4868" width="9.375" style="1618" bestFit="1" customWidth="1"/>
    <col min="4869" max="4869" width="13.5" style="1618" customWidth="1"/>
    <col min="4870" max="4870" width="9" style="1618"/>
    <col min="4871" max="4871" width="9.375" style="1618" bestFit="1" customWidth="1"/>
    <col min="4872" max="4873" width="9" style="1618"/>
    <col min="4874" max="4874" width="9.375" style="1618" bestFit="1" customWidth="1"/>
    <col min="4875" max="4875" width="4" style="1618" customWidth="1"/>
    <col min="4876" max="4876" width="5.125" style="1618" customWidth="1"/>
    <col min="4877" max="4877" width="13.75" style="1618" customWidth="1"/>
    <col min="4878" max="5120" width="9" style="1618"/>
    <col min="5121" max="5121" width="4.875" style="1618" customWidth="1"/>
    <col min="5122" max="5122" width="13.25" style="1618" customWidth="1"/>
    <col min="5123" max="5123" width="15.625" style="1618" customWidth="1"/>
    <col min="5124" max="5124" width="9.375" style="1618" bestFit="1" customWidth="1"/>
    <col min="5125" max="5125" width="13.5" style="1618" customWidth="1"/>
    <col min="5126" max="5126" width="9" style="1618"/>
    <col min="5127" max="5127" width="9.375" style="1618" bestFit="1" customWidth="1"/>
    <col min="5128" max="5129" width="9" style="1618"/>
    <col min="5130" max="5130" width="9.375" style="1618" bestFit="1" customWidth="1"/>
    <col min="5131" max="5131" width="4" style="1618" customWidth="1"/>
    <col min="5132" max="5132" width="5.125" style="1618" customWidth="1"/>
    <col min="5133" max="5133" width="13.75" style="1618" customWidth="1"/>
    <col min="5134" max="5376" width="9" style="1618"/>
    <col min="5377" max="5377" width="4.875" style="1618" customWidth="1"/>
    <col min="5378" max="5378" width="13.25" style="1618" customWidth="1"/>
    <col min="5379" max="5379" width="15.625" style="1618" customWidth="1"/>
    <col min="5380" max="5380" width="9.375" style="1618" bestFit="1" customWidth="1"/>
    <col min="5381" max="5381" width="13.5" style="1618" customWidth="1"/>
    <col min="5382" max="5382" width="9" style="1618"/>
    <col min="5383" max="5383" width="9.375" style="1618" bestFit="1" customWidth="1"/>
    <col min="5384" max="5385" width="9" style="1618"/>
    <col min="5386" max="5386" width="9.375" style="1618" bestFit="1" customWidth="1"/>
    <col min="5387" max="5387" width="4" style="1618" customWidth="1"/>
    <col min="5388" max="5388" width="5.125" style="1618" customWidth="1"/>
    <col min="5389" max="5389" width="13.75" style="1618" customWidth="1"/>
    <col min="5390" max="5632" width="9" style="1618"/>
    <col min="5633" max="5633" width="4.875" style="1618" customWidth="1"/>
    <col min="5634" max="5634" width="13.25" style="1618" customWidth="1"/>
    <col min="5635" max="5635" width="15.625" style="1618" customWidth="1"/>
    <col min="5636" max="5636" width="9.375" style="1618" bestFit="1" customWidth="1"/>
    <col min="5637" max="5637" width="13.5" style="1618" customWidth="1"/>
    <col min="5638" max="5638" width="9" style="1618"/>
    <col min="5639" max="5639" width="9.375" style="1618" bestFit="1" customWidth="1"/>
    <col min="5640" max="5641" width="9" style="1618"/>
    <col min="5642" max="5642" width="9.375" style="1618" bestFit="1" customWidth="1"/>
    <col min="5643" max="5643" width="4" style="1618" customWidth="1"/>
    <col min="5644" max="5644" width="5.125" style="1618" customWidth="1"/>
    <col min="5645" max="5645" width="13.75" style="1618" customWidth="1"/>
    <col min="5646" max="5888" width="9" style="1618"/>
    <col min="5889" max="5889" width="4.875" style="1618" customWidth="1"/>
    <col min="5890" max="5890" width="13.25" style="1618" customWidth="1"/>
    <col min="5891" max="5891" width="15.625" style="1618" customWidth="1"/>
    <col min="5892" max="5892" width="9.375" style="1618" bestFit="1" customWidth="1"/>
    <col min="5893" max="5893" width="13.5" style="1618" customWidth="1"/>
    <col min="5894" max="5894" width="9" style="1618"/>
    <col min="5895" max="5895" width="9.375" style="1618" bestFit="1" customWidth="1"/>
    <col min="5896" max="5897" width="9" style="1618"/>
    <col min="5898" max="5898" width="9.375" style="1618" bestFit="1" customWidth="1"/>
    <col min="5899" max="5899" width="4" style="1618" customWidth="1"/>
    <col min="5900" max="5900" width="5.125" style="1618" customWidth="1"/>
    <col min="5901" max="5901" width="13.75" style="1618" customWidth="1"/>
    <col min="5902" max="6144" width="9" style="1618"/>
    <col min="6145" max="6145" width="4.875" style="1618" customWidth="1"/>
    <col min="6146" max="6146" width="13.25" style="1618" customWidth="1"/>
    <col min="6147" max="6147" width="15.625" style="1618" customWidth="1"/>
    <col min="6148" max="6148" width="9.375" style="1618" bestFit="1" customWidth="1"/>
    <col min="6149" max="6149" width="13.5" style="1618" customWidth="1"/>
    <col min="6150" max="6150" width="9" style="1618"/>
    <col min="6151" max="6151" width="9.375" style="1618" bestFit="1" customWidth="1"/>
    <col min="6152" max="6153" width="9" style="1618"/>
    <col min="6154" max="6154" width="9.375" style="1618" bestFit="1" customWidth="1"/>
    <col min="6155" max="6155" width="4" style="1618" customWidth="1"/>
    <col min="6156" max="6156" width="5.125" style="1618" customWidth="1"/>
    <col min="6157" max="6157" width="13.75" style="1618" customWidth="1"/>
    <col min="6158" max="6400" width="9" style="1618"/>
    <col min="6401" max="6401" width="4.875" style="1618" customWidth="1"/>
    <col min="6402" max="6402" width="13.25" style="1618" customWidth="1"/>
    <col min="6403" max="6403" width="15.625" style="1618" customWidth="1"/>
    <col min="6404" max="6404" width="9.375" style="1618" bestFit="1" customWidth="1"/>
    <col min="6405" max="6405" width="13.5" style="1618" customWidth="1"/>
    <col min="6406" max="6406" width="9" style="1618"/>
    <col min="6407" max="6407" width="9.375" style="1618" bestFit="1" customWidth="1"/>
    <col min="6408" max="6409" width="9" style="1618"/>
    <col min="6410" max="6410" width="9.375" style="1618" bestFit="1" customWidth="1"/>
    <col min="6411" max="6411" width="4" style="1618" customWidth="1"/>
    <col min="6412" max="6412" width="5.125" style="1618" customWidth="1"/>
    <col min="6413" max="6413" width="13.75" style="1618" customWidth="1"/>
    <col min="6414" max="6656" width="9" style="1618"/>
    <col min="6657" max="6657" width="4.875" style="1618" customWidth="1"/>
    <col min="6658" max="6658" width="13.25" style="1618" customWidth="1"/>
    <col min="6659" max="6659" width="15.625" style="1618" customWidth="1"/>
    <col min="6660" max="6660" width="9.375" style="1618" bestFit="1" customWidth="1"/>
    <col min="6661" max="6661" width="13.5" style="1618" customWidth="1"/>
    <col min="6662" max="6662" width="9" style="1618"/>
    <col min="6663" max="6663" width="9.375" style="1618" bestFit="1" customWidth="1"/>
    <col min="6664" max="6665" width="9" style="1618"/>
    <col min="6666" max="6666" width="9.375" style="1618" bestFit="1" customWidth="1"/>
    <col min="6667" max="6667" width="4" style="1618" customWidth="1"/>
    <col min="6668" max="6668" width="5.125" style="1618" customWidth="1"/>
    <col min="6669" max="6669" width="13.75" style="1618" customWidth="1"/>
    <col min="6670" max="6912" width="9" style="1618"/>
    <col min="6913" max="6913" width="4.875" style="1618" customWidth="1"/>
    <col min="6914" max="6914" width="13.25" style="1618" customWidth="1"/>
    <col min="6915" max="6915" width="15.625" style="1618" customWidth="1"/>
    <col min="6916" max="6916" width="9.375" style="1618" bestFit="1" customWidth="1"/>
    <col min="6917" max="6917" width="13.5" style="1618" customWidth="1"/>
    <col min="6918" max="6918" width="9" style="1618"/>
    <col min="6919" max="6919" width="9.375" style="1618" bestFit="1" customWidth="1"/>
    <col min="6920" max="6921" width="9" style="1618"/>
    <col min="6922" max="6922" width="9.375" style="1618" bestFit="1" customWidth="1"/>
    <col min="6923" max="6923" width="4" style="1618" customWidth="1"/>
    <col min="6924" max="6924" width="5.125" style="1618" customWidth="1"/>
    <col min="6925" max="6925" width="13.75" style="1618" customWidth="1"/>
    <col min="6926" max="7168" width="9" style="1618"/>
    <col min="7169" max="7169" width="4.875" style="1618" customWidth="1"/>
    <col min="7170" max="7170" width="13.25" style="1618" customWidth="1"/>
    <col min="7171" max="7171" width="15.625" style="1618" customWidth="1"/>
    <col min="7172" max="7172" width="9.375" style="1618" bestFit="1" customWidth="1"/>
    <col min="7173" max="7173" width="13.5" style="1618" customWidth="1"/>
    <col min="7174" max="7174" width="9" style="1618"/>
    <col min="7175" max="7175" width="9.375" style="1618" bestFit="1" customWidth="1"/>
    <col min="7176" max="7177" width="9" style="1618"/>
    <col min="7178" max="7178" width="9.375" style="1618" bestFit="1" customWidth="1"/>
    <col min="7179" max="7179" width="4" style="1618" customWidth="1"/>
    <col min="7180" max="7180" width="5.125" style="1618" customWidth="1"/>
    <col min="7181" max="7181" width="13.75" style="1618" customWidth="1"/>
    <col min="7182" max="7424" width="9" style="1618"/>
    <col min="7425" max="7425" width="4.875" style="1618" customWidth="1"/>
    <col min="7426" max="7426" width="13.25" style="1618" customWidth="1"/>
    <col min="7427" max="7427" width="15.625" style="1618" customWidth="1"/>
    <col min="7428" max="7428" width="9.375" style="1618" bestFit="1" customWidth="1"/>
    <col min="7429" max="7429" width="13.5" style="1618" customWidth="1"/>
    <col min="7430" max="7430" width="9" style="1618"/>
    <col min="7431" max="7431" width="9.375" style="1618" bestFit="1" customWidth="1"/>
    <col min="7432" max="7433" width="9" style="1618"/>
    <col min="7434" max="7434" width="9.375" style="1618" bestFit="1" customWidth="1"/>
    <col min="7435" max="7435" width="4" style="1618" customWidth="1"/>
    <col min="7436" max="7436" width="5.125" style="1618" customWidth="1"/>
    <col min="7437" max="7437" width="13.75" style="1618" customWidth="1"/>
    <col min="7438" max="7680" width="9" style="1618"/>
    <col min="7681" max="7681" width="4.875" style="1618" customWidth="1"/>
    <col min="7682" max="7682" width="13.25" style="1618" customWidth="1"/>
    <col min="7683" max="7683" width="15.625" style="1618" customWidth="1"/>
    <col min="7684" max="7684" width="9.375" style="1618" bestFit="1" customWidth="1"/>
    <col min="7685" max="7685" width="13.5" style="1618" customWidth="1"/>
    <col min="7686" max="7686" width="9" style="1618"/>
    <col min="7687" max="7687" width="9.375" style="1618" bestFit="1" customWidth="1"/>
    <col min="7688" max="7689" width="9" style="1618"/>
    <col min="7690" max="7690" width="9.375" style="1618" bestFit="1" customWidth="1"/>
    <col min="7691" max="7691" width="4" style="1618" customWidth="1"/>
    <col min="7692" max="7692" width="5.125" style="1618" customWidth="1"/>
    <col min="7693" max="7693" width="13.75" style="1618" customWidth="1"/>
    <col min="7694" max="7936" width="9" style="1618"/>
    <col min="7937" max="7937" width="4.875" style="1618" customWidth="1"/>
    <col min="7938" max="7938" width="13.25" style="1618" customWidth="1"/>
    <col min="7939" max="7939" width="15.625" style="1618" customWidth="1"/>
    <col min="7940" max="7940" width="9.375" style="1618" bestFit="1" customWidth="1"/>
    <col min="7941" max="7941" width="13.5" style="1618" customWidth="1"/>
    <col min="7942" max="7942" width="9" style="1618"/>
    <col min="7943" max="7943" width="9.375" style="1618" bestFit="1" customWidth="1"/>
    <col min="7944" max="7945" width="9" style="1618"/>
    <col min="7946" max="7946" width="9.375" style="1618" bestFit="1" customWidth="1"/>
    <col min="7947" max="7947" width="4" style="1618" customWidth="1"/>
    <col min="7948" max="7948" width="5.125" style="1618" customWidth="1"/>
    <col min="7949" max="7949" width="13.75" style="1618" customWidth="1"/>
    <col min="7950" max="8192" width="9" style="1618"/>
    <col min="8193" max="8193" width="4.875" style="1618" customWidth="1"/>
    <col min="8194" max="8194" width="13.25" style="1618" customWidth="1"/>
    <col min="8195" max="8195" width="15.625" style="1618" customWidth="1"/>
    <col min="8196" max="8196" width="9.375" style="1618" bestFit="1" customWidth="1"/>
    <col min="8197" max="8197" width="13.5" style="1618" customWidth="1"/>
    <col min="8198" max="8198" width="9" style="1618"/>
    <col min="8199" max="8199" width="9.375" style="1618" bestFit="1" customWidth="1"/>
    <col min="8200" max="8201" width="9" style="1618"/>
    <col min="8202" max="8202" width="9.375" style="1618" bestFit="1" customWidth="1"/>
    <col min="8203" max="8203" width="4" style="1618" customWidth="1"/>
    <col min="8204" max="8204" width="5.125" style="1618" customWidth="1"/>
    <col min="8205" max="8205" width="13.75" style="1618" customWidth="1"/>
    <col min="8206" max="8448" width="9" style="1618"/>
    <col min="8449" max="8449" width="4.875" style="1618" customWidth="1"/>
    <col min="8450" max="8450" width="13.25" style="1618" customWidth="1"/>
    <col min="8451" max="8451" width="15.625" style="1618" customWidth="1"/>
    <col min="8452" max="8452" width="9.375" style="1618" bestFit="1" customWidth="1"/>
    <col min="8453" max="8453" width="13.5" style="1618" customWidth="1"/>
    <col min="8454" max="8454" width="9" style="1618"/>
    <col min="8455" max="8455" width="9.375" style="1618" bestFit="1" customWidth="1"/>
    <col min="8456" max="8457" width="9" style="1618"/>
    <col min="8458" max="8458" width="9.375" style="1618" bestFit="1" customWidth="1"/>
    <col min="8459" max="8459" width="4" style="1618" customWidth="1"/>
    <col min="8460" max="8460" width="5.125" style="1618" customWidth="1"/>
    <col min="8461" max="8461" width="13.75" style="1618" customWidth="1"/>
    <col min="8462" max="8704" width="9" style="1618"/>
    <col min="8705" max="8705" width="4.875" style="1618" customWidth="1"/>
    <col min="8706" max="8706" width="13.25" style="1618" customWidth="1"/>
    <col min="8707" max="8707" width="15.625" style="1618" customWidth="1"/>
    <col min="8708" max="8708" width="9.375" style="1618" bestFit="1" customWidth="1"/>
    <col min="8709" max="8709" width="13.5" style="1618" customWidth="1"/>
    <col min="8710" max="8710" width="9" style="1618"/>
    <col min="8711" max="8711" width="9.375" style="1618" bestFit="1" customWidth="1"/>
    <col min="8712" max="8713" width="9" style="1618"/>
    <col min="8714" max="8714" width="9.375" style="1618" bestFit="1" customWidth="1"/>
    <col min="8715" max="8715" width="4" style="1618" customWidth="1"/>
    <col min="8716" max="8716" width="5.125" style="1618" customWidth="1"/>
    <col min="8717" max="8717" width="13.75" style="1618" customWidth="1"/>
    <col min="8718" max="8960" width="9" style="1618"/>
    <col min="8961" max="8961" width="4.875" style="1618" customWidth="1"/>
    <col min="8962" max="8962" width="13.25" style="1618" customWidth="1"/>
    <col min="8963" max="8963" width="15.625" style="1618" customWidth="1"/>
    <col min="8964" max="8964" width="9.375" style="1618" bestFit="1" customWidth="1"/>
    <col min="8965" max="8965" width="13.5" style="1618" customWidth="1"/>
    <col min="8966" max="8966" width="9" style="1618"/>
    <col min="8967" max="8967" width="9.375" style="1618" bestFit="1" customWidth="1"/>
    <col min="8968" max="8969" width="9" style="1618"/>
    <col min="8970" max="8970" width="9.375" style="1618" bestFit="1" customWidth="1"/>
    <col min="8971" max="8971" width="4" style="1618" customWidth="1"/>
    <col min="8972" max="8972" width="5.125" style="1618" customWidth="1"/>
    <col min="8973" max="8973" width="13.75" style="1618" customWidth="1"/>
    <col min="8974" max="9216" width="9" style="1618"/>
    <col min="9217" max="9217" width="4.875" style="1618" customWidth="1"/>
    <col min="9218" max="9218" width="13.25" style="1618" customWidth="1"/>
    <col min="9219" max="9219" width="15.625" style="1618" customWidth="1"/>
    <col min="9220" max="9220" width="9.375" style="1618" bestFit="1" customWidth="1"/>
    <col min="9221" max="9221" width="13.5" style="1618" customWidth="1"/>
    <col min="9222" max="9222" width="9" style="1618"/>
    <col min="9223" max="9223" width="9.375" style="1618" bestFit="1" customWidth="1"/>
    <col min="9224" max="9225" width="9" style="1618"/>
    <col min="9226" max="9226" width="9.375" style="1618" bestFit="1" customWidth="1"/>
    <col min="9227" max="9227" width="4" style="1618" customWidth="1"/>
    <col min="9228" max="9228" width="5.125" style="1618" customWidth="1"/>
    <col min="9229" max="9229" width="13.75" style="1618" customWidth="1"/>
    <col min="9230" max="9472" width="9" style="1618"/>
    <col min="9473" max="9473" width="4.875" style="1618" customWidth="1"/>
    <col min="9474" max="9474" width="13.25" style="1618" customWidth="1"/>
    <col min="9475" max="9475" width="15.625" style="1618" customWidth="1"/>
    <col min="9476" max="9476" width="9.375" style="1618" bestFit="1" customWidth="1"/>
    <col min="9477" max="9477" width="13.5" style="1618" customWidth="1"/>
    <col min="9478" max="9478" width="9" style="1618"/>
    <col min="9479" max="9479" width="9.375" style="1618" bestFit="1" customWidth="1"/>
    <col min="9480" max="9481" width="9" style="1618"/>
    <col min="9482" max="9482" width="9.375" style="1618" bestFit="1" customWidth="1"/>
    <col min="9483" max="9483" width="4" style="1618" customWidth="1"/>
    <col min="9484" max="9484" width="5.125" style="1618" customWidth="1"/>
    <col min="9485" max="9485" width="13.75" style="1618" customWidth="1"/>
    <col min="9486" max="9728" width="9" style="1618"/>
    <col min="9729" max="9729" width="4.875" style="1618" customWidth="1"/>
    <col min="9730" max="9730" width="13.25" style="1618" customWidth="1"/>
    <col min="9731" max="9731" width="15.625" style="1618" customWidth="1"/>
    <col min="9732" max="9732" width="9.375" style="1618" bestFit="1" customWidth="1"/>
    <col min="9733" max="9733" width="13.5" style="1618" customWidth="1"/>
    <col min="9734" max="9734" width="9" style="1618"/>
    <col min="9735" max="9735" width="9.375" style="1618" bestFit="1" customWidth="1"/>
    <col min="9736" max="9737" width="9" style="1618"/>
    <col min="9738" max="9738" width="9.375" style="1618" bestFit="1" customWidth="1"/>
    <col min="9739" max="9739" width="4" style="1618" customWidth="1"/>
    <col min="9740" max="9740" width="5.125" style="1618" customWidth="1"/>
    <col min="9741" max="9741" width="13.75" style="1618" customWidth="1"/>
    <col min="9742" max="9984" width="9" style="1618"/>
    <col min="9985" max="9985" width="4.875" style="1618" customWidth="1"/>
    <col min="9986" max="9986" width="13.25" style="1618" customWidth="1"/>
    <col min="9987" max="9987" width="15.625" style="1618" customWidth="1"/>
    <col min="9988" max="9988" width="9.375" style="1618" bestFit="1" customWidth="1"/>
    <col min="9989" max="9989" width="13.5" style="1618" customWidth="1"/>
    <col min="9990" max="9990" width="9" style="1618"/>
    <col min="9991" max="9991" width="9.375" style="1618" bestFit="1" customWidth="1"/>
    <col min="9992" max="9993" width="9" style="1618"/>
    <col min="9994" max="9994" width="9.375" style="1618" bestFit="1" customWidth="1"/>
    <col min="9995" max="9995" width="4" style="1618" customWidth="1"/>
    <col min="9996" max="9996" width="5.125" style="1618" customWidth="1"/>
    <col min="9997" max="9997" width="13.75" style="1618" customWidth="1"/>
    <col min="9998" max="10240" width="9" style="1618"/>
    <col min="10241" max="10241" width="4.875" style="1618" customWidth="1"/>
    <col min="10242" max="10242" width="13.25" style="1618" customWidth="1"/>
    <col min="10243" max="10243" width="15.625" style="1618" customWidth="1"/>
    <col min="10244" max="10244" width="9.375" style="1618" bestFit="1" customWidth="1"/>
    <col min="10245" max="10245" width="13.5" style="1618" customWidth="1"/>
    <col min="10246" max="10246" width="9" style="1618"/>
    <col min="10247" max="10247" width="9.375" style="1618" bestFit="1" customWidth="1"/>
    <col min="10248" max="10249" width="9" style="1618"/>
    <col min="10250" max="10250" width="9.375" style="1618" bestFit="1" customWidth="1"/>
    <col min="10251" max="10251" width="4" style="1618" customWidth="1"/>
    <col min="10252" max="10252" width="5.125" style="1618" customWidth="1"/>
    <col min="10253" max="10253" width="13.75" style="1618" customWidth="1"/>
    <col min="10254" max="10496" width="9" style="1618"/>
    <col min="10497" max="10497" width="4.875" style="1618" customWidth="1"/>
    <col min="10498" max="10498" width="13.25" style="1618" customWidth="1"/>
    <col min="10499" max="10499" width="15.625" style="1618" customWidth="1"/>
    <col min="10500" max="10500" width="9.375" style="1618" bestFit="1" customWidth="1"/>
    <col min="10501" max="10501" width="13.5" style="1618" customWidth="1"/>
    <col min="10502" max="10502" width="9" style="1618"/>
    <col min="10503" max="10503" width="9.375" style="1618" bestFit="1" customWidth="1"/>
    <col min="10504" max="10505" width="9" style="1618"/>
    <col min="10506" max="10506" width="9.375" style="1618" bestFit="1" customWidth="1"/>
    <col min="10507" max="10507" width="4" style="1618" customWidth="1"/>
    <col min="10508" max="10508" width="5.125" style="1618" customWidth="1"/>
    <col min="10509" max="10509" width="13.75" style="1618" customWidth="1"/>
    <col min="10510" max="10752" width="9" style="1618"/>
    <col min="10753" max="10753" width="4.875" style="1618" customWidth="1"/>
    <col min="10754" max="10754" width="13.25" style="1618" customWidth="1"/>
    <col min="10755" max="10755" width="15.625" style="1618" customWidth="1"/>
    <col min="10756" max="10756" width="9.375" style="1618" bestFit="1" customWidth="1"/>
    <col min="10757" max="10757" width="13.5" style="1618" customWidth="1"/>
    <col min="10758" max="10758" width="9" style="1618"/>
    <col min="10759" max="10759" width="9.375" style="1618" bestFit="1" customWidth="1"/>
    <col min="10760" max="10761" width="9" style="1618"/>
    <col min="10762" max="10762" width="9.375" style="1618" bestFit="1" customWidth="1"/>
    <col min="10763" max="10763" width="4" style="1618" customWidth="1"/>
    <col min="10764" max="10764" width="5.125" style="1618" customWidth="1"/>
    <col min="10765" max="10765" width="13.75" style="1618" customWidth="1"/>
    <col min="10766" max="11008" width="9" style="1618"/>
    <col min="11009" max="11009" width="4.875" style="1618" customWidth="1"/>
    <col min="11010" max="11010" width="13.25" style="1618" customWidth="1"/>
    <col min="11011" max="11011" width="15.625" style="1618" customWidth="1"/>
    <col min="11012" max="11012" width="9.375" style="1618" bestFit="1" customWidth="1"/>
    <col min="11013" max="11013" width="13.5" style="1618" customWidth="1"/>
    <col min="11014" max="11014" width="9" style="1618"/>
    <col min="11015" max="11015" width="9.375" style="1618" bestFit="1" customWidth="1"/>
    <col min="11016" max="11017" width="9" style="1618"/>
    <col min="11018" max="11018" width="9.375" style="1618" bestFit="1" customWidth="1"/>
    <col min="11019" max="11019" width="4" style="1618" customWidth="1"/>
    <col min="11020" max="11020" width="5.125" style="1618" customWidth="1"/>
    <col min="11021" max="11021" width="13.75" style="1618" customWidth="1"/>
    <col min="11022" max="11264" width="9" style="1618"/>
    <col min="11265" max="11265" width="4.875" style="1618" customWidth="1"/>
    <col min="11266" max="11266" width="13.25" style="1618" customWidth="1"/>
    <col min="11267" max="11267" width="15.625" style="1618" customWidth="1"/>
    <col min="11268" max="11268" width="9.375" style="1618" bestFit="1" customWidth="1"/>
    <col min="11269" max="11269" width="13.5" style="1618" customWidth="1"/>
    <col min="11270" max="11270" width="9" style="1618"/>
    <col min="11271" max="11271" width="9.375" style="1618" bestFit="1" customWidth="1"/>
    <col min="11272" max="11273" width="9" style="1618"/>
    <col min="11274" max="11274" width="9.375" style="1618" bestFit="1" customWidth="1"/>
    <col min="11275" max="11275" width="4" style="1618" customWidth="1"/>
    <col min="11276" max="11276" width="5.125" style="1618" customWidth="1"/>
    <col min="11277" max="11277" width="13.75" style="1618" customWidth="1"/>
    <col min="11278" max="11520" width="9" style="1618"/>
    <col min="11521" max="11521" width="4.875" style="1618" customWidth="1"/>
    <col min="11522" max="11522" width="13.25" style="1618" customWidth="1"/>
    <col min="11523" max="11523" width="15.625" style="1618" customWidth="1"/>
    <col min="11524" max="11524" width="9.375" style="1618" bestFit="1" customWidth="1"/>
    <col min="11525" max="11525" width="13.5" style="1618" customWidth="1"/>
    <col min="11526" max="11526" width="9" style="1618"/>
    <col min="11527" max="11527" width="9.375" style="1618" bestFit="1" customWidth="1"/>
    <col min="11528" max="11529" width="9" style="1618"/>
    <col min="11530" max="11530" width="9.375" style="1618" bestFit="1" customWidth="1"/>
    <col min="11531" max="11531" width="4" style="1618" customWidth="1"/>
    <col min="11532" max="11532" width="5.125" style="1618" customWidth="1"/>
    <col min="11533" max="11533" width="13.75" style="1618" customWidth="1"/>
    <col min="11534" max="11776" width="9" style="1618"/>
    <col min="11777" max="11777" width="4.875" style="1618" customWidth="1"/>
    <col min="11778" max="11778" width="13.25" style="1618" customWidth="1"/>
    <col min="11779" max="11779" width="15.625" style="1618" customWidth="1"/>
    <col min="11780" max="11780" width="9.375" style="1618" bestFit="1" customWidth="1"/>
    <col min="11781" max="11781" width="13.5" style="1618" customWidth="1"/>
    <col min="11782" max="11782" width="9" style="1618"/>
    <col min="11783" max="11783" width="9.375" style="1618" bestFit="1" customWidth="1"/>
    <col min="11784" max="11785" width="9" style="1618"/>
    <col min="11786" max="11786" width="9.375" style="1618" bestFit="1" customWidth="1"/>
    <col min="11787" max="11787" width="4" style="1618" customWidth="1"/>
    <col min="11788" max="11788" width="5.125" style="1618" customWidth="1"/>
    <col min="11789" max="11789" width="13.75" style="1618" customWidth="1"/>
    <col min="11790" max="12032" width="9" style="1618"/>
    <col min="12033" max="12033" width="4.875" style="1618" customWidth="1"/>
    <col min="12034" max="12034" width="13.25" style="1618" customWidth="1"/>
    <col min="12035" max="12035" width="15.625" style="1618" customWidth="1"/>
    <col min="12036" max="12036" width="9.375" style="1618" bestFit="1" customWidth="1"/>
    <col min="12037" max="12037" width="13.5" style="1618" customWidth="1"/>
    <col min="12038" max="12038" width="9" style="1618"/>
    <col min="12039" max="12039" width="9.375" style="1618" bestFit="1" customWidth="1"/>
    <col min="12040" max="12041" width="9" style="1618"/>
    <col min="12042" max="12042" width="9.375" style="1618" bestFit="1" customWidth="1"/>
    <col min="12043" max="12043" width="4" style="1618" customWidth="1"/>
    <col min="12044" max="12044" width="5.125" style="1618" customWidth="1"/>
    <col min="12045" max="12045" width="13.75" style="1618" customWidth="1"/>
    <col min="12046" max="12288" width="9" style="1618"/>
    <col min="12289" max="12289" width="4.875" style="1618" customWidth="1"/>
    <col min="12290" max="12290" width="13.25" style="1618" customWidth="1"/>
    <col min="12291" max="12291" width="15.625" style="1618" customWidth="1"/>
    <col min="12292" max="12292" width="9.375" style="1618" bestFit="1" customWidth="1"/>
    <col min="12293" max="12293" width="13.5" style="1618" customWidth="1"/>
    <col min="12294" max="12294" width="9" style="1618"/>
    <col min="12295" max="12295" width="9.375" style="1618" bestFit="1" customWidth="1"/>
    <col min="12296" max="12297" width="9" style="1618"/>
    <col min="12298" max="12298" width="9.375" style="1618" bestFit="1" customWidth="1"/>
    <col min="12299" max="12299" width="4" style="1618" customWidth="1"/>
    <col min="12300" max="12300" width="5.125" style="1618" customWidth="1"/>
    <col min="12301" max="12301" width="13.75" style="1618" customWidth="1"/>
    <col min="12302" max="12544" width="9" style="1618"/>
    <col min="12545" max="12545" width="4.875" style="1618" customWidth="1"/>
    <col min="12546" max="12546" width="13.25" style="1618" customWidth="1"/>
    <col min="12547" max="12547" width="15.625" style="1618" customWidth="1"/>
    <col min="12548" max="12548" width="9.375" style="1618" bestFit="1" customWidth="1"/>
    <col min="12549" max="12549" width="13.5" style="1618" customWidth="1"/>
    <col min="12550" max="12550" width="9" style="1618"/>
    <col min="12551" max="12551" width="9.375" style="1618" bestFit="1" customWidth="1"/>
    <col min="12552" max="12553" width="9" style="1618"/>
    <col min="12554" max="12554" width="9.375" style="1618" bestFit="1" customWidth="1"/>
    <col min="12555" max="12555" width="4" style="1618" customWidth="1"/>
    <col min="12556" max="12556" width="5.125" style="1618" customWidth="1"/>
    <col min="12557" max="12557" width="13.75" style="1618" customWidth="1"/>
    <col min="12558" max="12800" width="9" style="1618"/>
    <col min="12801" max="12801" width="4.875" style="1618" customWidth="1"/>
    <col min="12802" max="12802" width="13.25" style="1618" customWidth="1"/>
    <col min="12803" max="12803" width="15.625" style="1618" customWidth="1"/>
    <col min="12804" max="12804" width="9.375" style="1618" bestFit="1" customWidth="1"/>
    <col min="12805" max="12805" width="13.5" style="1618" customWidth="1"/>
    <col min="12806" max="12806" width="9" style="1618"/>
    <col min="12807" max="12807" width="9.375" style="1618" bestFit="1" customWidth="1"/>
    <col min="12808" max="12809" width="9" style="1618"/>
    <col min="12810" max="12810" width="9.375" style="1618" bestFit="1" customWidth="1"/>
    <col min="12811" max="12811" width="4" style="1618" customWidth="1"/>
    <col min="12812" max="12812" width="5.125" style="1618" customWidth="1"/>
    <col min="12813" max="12813" width="13.75" style="1618" customWidth="1"/>
    <col min="12814" max="13056" width="9" style="1618"/>
    <col min="13057" max="13057" width="4.875" style="1618" customWidth="1"/>
    <col min="13058" max="13058" width="13.25" style="1618" customWidth="1"/>
    <col min="13059" max="13059" width="15.625" style="1618" customWidth="1"/>
    <col min="13060" max="13060" width="9.375" style="1618" bestFit="1" customWidth="1"/>
    <col min="13061" max="13061" width="13.5" style="1618" customWidth="1"/>
    <col min="13062" max="13062" width="9" style="1618"/>
    <col min="13063" max="13063" width="9.375" style="1618" bestFit="1" customWidth="1"/>
    <col min="13064" max="13065" width="9" style="1618"/>
    <col min="13066" max="13066" width="9.375" style="1618" bestFit="1" customWidth="1"/>
    <col min="13067" max="13067" width="4" style="1618" customWidth="1"/>
    <col min="13068" max="13068" width="5.125" style="1618" customWidth="1"/>
    <col min="13069" max="13069" width="13.75" style="1618" customWidth="1"/>
    <col min="13070" max="13312" width="9" style="1618"/>
    <col min="13313" max="13313" width="4.875" style="1618" customWidth="1"/>
    <col min="13314" max="13314" width="13.25" style="1618" customWidth="1"/>
    <col min="13315" max="13315" width="15.625" style="1618" customWidth="1"/>
    <col min="13316" max="13316" width="9.375" style="1618" bestFit="1" customWidth="1"/>
    <col min="13317" max="13317" width="13.5" style="1618" customWidth="1"/>
    <col min="13318" max="13318" width="9" style="1618"/>
    <col min="13319" max="13319" width="9.375" style="1618" bestFit="1" customWidth="1"/>
    <col min="13320" max="13321" width="9" style="1618"/>
    <col min="13322" max="13322" width="9.375" style="1618" bestFit="1" customWidth="1"/>
    <col min="13323" max="13323" width="4" style="1618" customWidth="1"/>
    <col min="13324" max="13324" width="5.125" style="1618" customWidth="1"/>
    <col min="13325" max="13325" width="13.75" style="1618" customWidth="1"/>
    <col min="13326" max="13568" width="9" style="1618"/>
    <col min="13569" max="13569" width="4.875" style="1618" customWidth="1"/>
    <col min="13570" max="13570" width="13.25" style="1618" customWidth="1"/>
    <col min="13571" max="13571" width="15.625" style="1618" customWidth="1"/>
    <col min="13572" max="13572" width="9.375" style="1618" bestFit="1" customWidth="1"/>
    <col min="13573" max="13573" width="13.5" style="1618" customWidth="1"/>
    <col min="13574" max="13574" width="9" style="1618"/>
    <col min="13575" max="13575" width="9.375" style="1618" bestFit="1" customWidth="1"/>
    <col min="13576" max="13577" width="9" style="1618"/>
    <col min="13578" max="13578" width="9.375" style="1618" bestFit="1" customWidth="1"/>
    <col min="13579" max="13579" width="4" style="1618" customWidth="1"/>
    <col min="13580" max="13580" width="5.125" style="1618" customWidth="1"/>
    <col min="13581" max="13581" width="13.75" style="1618" customWidth="1"/>
    <col min="13582" max="13824" width="9" style="1618"/>
    <col min="13825" max="13825" width="4.875" style="1618" customWidth="1"/>
    <col min="13826" max="13826" width="13.25" style="1618" customWidth="1"/>
    <col min="13827" max="13827" width="15.625" style="1618" customWidth="1"/>
    <col min="13828" max="13828" width="9.375" style="1618" bestFit="1" customWidth="1"/>
    <col min="13829" max="13829" width="13.5" style="1618" customWidth="1"/>
    <col min="13830" max="13830" width="9" style="1618"/>
    <col min="13831" max="13831" width="9.375" style="1618" bestFit="1" customWidth="1"/>
    <col min="13832" max="13833" width="9" style="1618"/>
    <col min="13834" max="13834" width="9.375" style="1618" bestFit="1" customWidth="1"/>
    <col min="13835" max="13835" width="4" style="1618" customWidth="1"/>
    <col min="13836" max="13836" width="5.125" style="1618" customWidth="1"/>
    <col min="13837" max="13837" width="13.75" style="1618" customWidth="1"/>
    <col min="13838" max="14080" width="9" style="1618"/>
    <col min="14081" max="14081" width="4.875" style="1618" customWidth="1"/>
    <col min="14082" max="14082" width="13.25" style="1618" customWidth="1"/>
    <col min="14083" max="14083" width="15.625" style="1618" customWidth="1"/>
    <col min="14084" max="14084" width="9.375" style="1618" bestFit="1" customWidth="1"/>
    <col min="14085" max="14085" width="13.5" style="1618" customWidth="1"/>
    <col min="14086" max="14086" width="9" style="1618"/>
    <col min="14087" max="14087" width="9.375" style="1618" bestFit="1" customWidth="1"/>
    <col min="14088" max="14089" width="9" style="1618"/>
    <col min="14090" max="14090" width="9.375" style="1618" bestFit="1" customWidth="1"/>
    <col min="14091" max="14091" width="4" style="1618" customWidth="1"/>
    <col min="14092" max="14092" width="5.125" style="1618" customWidth="1"/>
    <col min="14093" max="14093" width="13.75" style="1618" customWidth="1"/>
    <col min="14094" max="14336" width="9" style="1618"/>
    <col min="14337" max="14337" width="4.875" style="1618" customWidth="1"/>
    <col min="14338" max="14338" width="13.25" style="1618" customWidth="1"/>
    <col min="14339" max="14339" width="15.625" style="1618" customWidth="1"/>
    <col min="14340" max="14340" width="9.375" style="1618" bestFit="1" customWidth="1"/>
    <col min="14341" max="14341" width="13.5" style="1618" customWidth="1"/>
    <col min="14342" max="14342" width="9" style="1618"/>
    <col min="14343" max="14343" width="9.375" style="1618" bestFit="1" customWidth="1"/>
    <col min="14344" max="14345" width="9" style="1618"/>
    <col min="14346" max="14346" width="9.375" style="1618" bestFit="1" customWidth="1"/>
    <col min="14347" max="14347" width="4" style="1618" customWidth="1"/>
    <col min="14348" max="14348" width="5.125" style="1618" customWidth="1"/>
    <col min="14349" max="14349" width="13.75" style="1618" customWidth="1"/>
    <col min="14350" max="14592" width="9" style="1618"/>
    <col min="14593" max="14593" width="4.875" style="1618" customWidth="1"/>
    <col min="14594" max="14594" width="13.25" style="1618" customWidth="1"/>
    <col min="14595" max="14595" width="15.625" style="1618" customWidth="1"/>
    <col min="14596" max="14596" width="9.375" style="1618" bestFit="1" customWidth="1"/>
    <col min="14597" max="14597" width="13.5" style="1618" customWidth="1"/>
    <col min="14598" max="14598" width="9" style="1618"/>
    <col min="14599" max="14599" width="9.375" style="1618" bestFit="1" customWidth="1"/>
    <col min="14600" max="14601" width="9" style="1618"/>
    <col min="14602" max="14602" width="9.375" style="1618" bestFit="1" customWidth="1"/>
    <col min="14603" max="14603" width="4" style="1618" customWidth="1"/>
    <col min="14604" max="14604" width="5.125" style="1618" customWidth="1"/>
    <col min="14605" max="14605" width="13.75" style="1618" customWidth="1"/>
    <col min="14606" max="14848" width="9" style="1618"/>
    <col min="14849" max="14849" width="4.875" style="1618" customWidth="1"/>
    <col min="14850" max="14850" width="13.25" style="1618" customWidth="1"/>
    <col min="14851" max="14851" width="15.625" style="1618" customWidth="1"/>
    <col min="14852" max="14852" width="9.375" style="1618" bestFit="1" customWidth="1"/>
    <col min="14853" max="14853" width="13.5" style="1618" customWidth="1"/>
    <col min="14854" max="14854" width="9" style="1618"/>
    <col min="14855" max="14855" width="9.375" style="1618" bestFit="1" customWidth="1"/>
    <col min="14856" max="14857" width="9" style="1618"/>
    <col min="14858" max="14858" width="9.375" style="1618" bestFit="1" customWidth="1"/>
    <col min="14859" max="14859" width="4" style="1618" customWidth="1"/>
    <col min="14860" max="14860" width="5.125" style="1618" customWidth="1"/>
    <col min="14861" max="14861" width="13.75" style="1618" customWidth="1"/>
    <col min="14862" max="15104" width="9" style="1618"/>
    <col min="15105" max="15105" width="4.875" style="1618" customWidth="1"/>
    <col min="15106" max="15106" width="13.25" style="1618" customWidth="1"/>
    <col min="15107" max="15107" width="15.625" style="1618" customWidth="1"/>
    <col min="15108" max="15108" width="9.375" style="1618" bestFit="1" customWidth="1"/>
    <col min="15109" max="15109" width="13.5" style="1618" customWidth="1"/>
    <col min="15110" max="15110" width="9" style="1618"/>
    <col min="15111" max="15111" width="9.375" style="1618" bestFit="1" customWidth="1"/>
    <col min="15112" max="15113" width="9" style="1618"/>
    <col min="15114" max="15114" width="9.375" style="1618" bestFit="1" customWidth="1"/>
    <col min="15115" max="15115" width="4" style="1618" customWidth="1"/>
    <col min="15116" max="15116" width="5.125" style="1618" customWidth="1"/>
    <col min="15117" max="15117" width="13.75" style="1618" customWidth="1"/>
    <col min="15118" max="15360" width="9" style="1618"/>
    <col min="15361" max="15361" width="4.875" style="1618" customWidth="1"/>
    <col min="15362" max="15362" width="13.25" style="1618" customWidth="1"/>
    <col min="15363" max="15363" width="15.625" style="1618" customWidth="1"/>
    <col min="15364" max="15364" width="9.375" style="1618" bestFit="1" customWidth="1"/>
    <col min="15365" max="15365" width="13.5" style="1618" customWidth="1"/>
    <col min="15366" max="15366" width="9" style="1618"/>
    <col min="15367" max="15367" width="9.375" style="1618" bestFit="1" customWidth="1"/>
    <col min="15368" max="15369" width="9" style="1618"/>
    <col min="15370" max="15370" width="9.375" style="1618" bestFit="1" customWidth="1"/>
    <col min="15371" max="15371" width="4" style="1618" customWidth="1"/>
    <col min="15372" max="15372" width="5.125" style="1618" customWidth="1"/>
    <col min="15373" max="15373" width="13.75" style="1618" customWidth="1"/>
    <col min="15374" max="15616" width="9" style="1618"/>
    <col min="15617" max="15617" width="4.875" style="1618" customWidth="1"/>
    <col min="15618" max="15618" width="13.25" style="1618" customWidth="1"/>
    <col min="15619" max="15619" width="15.625" style="1618" customWidth="1"/>
    <col min="15620" max="15620" width="9.375" style="1618" bestFit="1" customWidth="1"/>
    <col min="15621" max="15621" width="13.5" style="1618" customWidth="1"/>
    <col min="15622" max="15622" width="9" style="1618"/>
    <col min="15623" max="15623" width="9.375" style="1618" bestFit="1" customWidth="1"/>
    <col min="15624" max="15625" width="9" style="1618"/>
    <col min="15626" max="15626" width="9.375" style="1618" bestFit="1" customWidth="1"/>
    <col min="15627" max="15627" width="4" style="1618" customWidth="1"/>
    <col min="15628" max="15628" width="5.125" style="1618" customWidth="1"/>
    <col min="15629" max="15629" width="13.75" style="1618" customWidth="1"/>
    <col min="15630" max="15872" width="9" style="1618"/>
    <col min="15873" max="15873" width="4.875" style="1618" customWidth="1"/>
    <col min="15874" max="15874" width="13.25" style="1618" customWidth="1"/>
    <col min="15875" max="15875" width="15.625" style="1618" customWidth="1"/>
    <col min="15876" max="15876" width="9.375" style="1618" bestFit="1" customWidth="1"/>
    <col min="15877" max="15877" width="13.5" style="1618" customWidth="1"/>
    <col min="15878" max="15878" width="9" style="1618"/>
    <col min="15879" max="15879" width="9.375" style="1618" bestFit="1" customWidth="1"/>
    <col min="15880" max="15881" width="9" style="1618"/>
    <col min="15882" max="15882" width="9.375" style="1618" bestFit="1" customWidth="1"/>
    <col min="15883" max="15883" width="4" style="1618" customWidth="1"/>
    <col min="15884" max="15884" width="5.125" style="1618" customWidth="1"/>
    <col min="15885" max="15885" width="13.75" style="1618" customWidth="1"/>
    <col min="15886" max="16128" width="9" style="1618"/>
    <col min="16129" max="16129" width="4.875" style="1618" customWidth="1"/>
    <col min="16130" max="16130" width="13.25" style="1618" customWidth="1"/>
    <col min="16131" max="16131" width="15.625" style="1618" customWidth="1"/>
    <col min="16132" max="16132" width="9.375" style="1618" bestFit="1" customWidth="1"/>
    <col min="16133" max="16133" width="13.5" style="1618" customWidth="1"/>
    <col min="16134" max="16134" width="9" style="1618"/>
    <col min="16135" max="16135" width="9.375" style="1618" bestFit="1" customWidth="1"/>
    <col min="16136" max="16137" width="9" style="1618"/>
    <col min="16138" max="16138" width="9.375" style="1618" bestFit="1" customWidth="1"/>
    <col min="16139" max="16139" width="4" style="1618" customWidth="1"/>
    <col min="16140" max="16140" width="5.125" style="1618" customWidth="1"/>
    <col min="16141" max="16141" width="13.75" style="1618" customWidth="1"/>
    <col min="16142" max="16384" width="9" style="1618"/>
  </cols>
  <sheetData>
    <row r="1" spans="1:257" s="1682" customFormat="1" ht="14.25" thickBot="1">
      <c r="A1" s="1676"/>
      <c r="B1" s="1683" t="s">
        <v>1295</v>
      </c>
      <c r="C1" s="1677">
        <f>项目基本情况!D3</f>
        <v>43886</v>
      </c>
      <c r="D1" s="1683" t="s">
        <v>1296</v>
      </c>
      <c r="E1" s="1678">
        <f>'数据-取费表'!B22</f>
        <v>2</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4.2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25">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5">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14.25">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5">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codeName="Sheet44"/>
  <dimension ref="A1:M17"/>
  <sheetViews>
    <sheetView workbookViewId="0">
      <selection activeCell="K25" sqref="K25"/>
    </sheetView>
  </sheetViews>
  <sheetFormatPr defaultRowHeight="13.5"/>
  <sheetData>
    <row r="1" spans="1:13" ht="28.5">
      <c r="A1" s="1765" t="s">
        <v>1367</v>
      </c>
      <c r="E1" s="1759" t="s">
        <v>1371</v>
      </c>
      <c r="F1" s="1760" t="s">
        <v>1375</v>
      </c>
    </row>
    <row r="2" spans="1:13" ht="20.25">
      <c r="A2" s="1766" t="s">
        <v>1368</v>
      </c>
    </row>
    <row r="3" spans="1:13" ht="16.5">
      <c r="A3" s="1767" t="s">
        <v>1369</v>
      </c>
    </row>
    <row r="4" spans="1:13" ht="14.25">
      <c r="A4" s="1757" t="s">
        <v>1370</v>
      </c>
      <c r="B4" s="1762" t="s">
        <v>1372</v>
      </c>
      <c r="C4" s="1763"/>
      <c r="D4" s="1764"/>
      <c r="E4" s="1762" t="s">
        <v>27</v>
      </c>
      <c r="F4" s="1763"/>
      <c r="G4" s="1764"/>
      <c r="H4" s="1762" t="s">
        <v>1373</v>
      </c>
      <c r="I4" s="1763"/>
      <c r="J4" s="1764"/>
      <c r="K4" s="1762" t="s">
        <v>6</v>
      </c>
      <c r="L4" s="1763"/>
      <c r="M4" s="1764"/>
    </row>
    <row r="5" spans="1:13" ht="14.25">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ht="14.25">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ht="14.25">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ht="14.25">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ht="14.25">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ht="14.25">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ht="14.25">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ht="14.25">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ht="14.25">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ht="14.25">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ht="14.25">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ht="14.25">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ht="14.25">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sheetPr codeName="Sheet45">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2866</v>
      </c>
    </row>
    <row r="2" spans="1:45" s="696" customFormat="1" ht="38.25">
      <c r="A2" s="1188"/>
      <c r="B2" s="692" t="s">
        <v>1866</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5"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5"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5"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5"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5"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5"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5"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5"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5" thickBot="1">
      <c r="A20" s="702" t="s">
        <v>3004</v>
      </c>
      <c r="B20" s="329">
        <f ca="1">IF(D20="——",S22,S22-F20)</f>
        <v>2293</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75">
      <c r="A21" s="702" t="s">
        <v>3006</v>
      </c>
      <c r="B21" s="329">
        <f ca="1">R22</f>
        <v>34147</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671.51000000000022</v>
      </c>
      <c r="C22" s="3138" t="s">
        <v>33</v>
      </c>
      <c r="D22" s="3139"/>
      <c r="E22" s="3139"/>
      <c r="F22" s="3139"/>
      <c r="G22" s="3139"/>
      <c r="H22" s="3139"/>
      <c r="I22" s="3139"/>
      <c r="J22" s="3139"/>
      <c r="K22" s="3139"/>
      <c r="L22" s="3139"/>
      <c r="M22" s="3139"/>
      <c r="N22" s="3139"/>
      <c r="O22" s="3139"/>
      <c r="P22" s="3139"/>
      <c r="Q22" s="3332"/>
      <c r="R22" s="703">
        <f ca="1">ROUND(S22*10000/B22,0)</f>
        <v>34147</v>
      </c>
      <c r="S22" s="24">
        <f ca="1">SUM(S24:S10000)</f>
        <v>2293</v>
      </c>
    </row>
    <row r="23" spans="1:45" s="12" customFormat="1" ht="25.5">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106</v>
      </c>
      <c r="B24" s="2958">
        <v>116.2</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87" ca="1" si="5">ROUND(R24*B24/10000,0)</f>
        <v>401</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ht="14.25">
      <c r="A25" s="2949">
        <v>107</v>
      </c>
      <c r="B25" s="2950">
        <v>142.52000000000001</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5"/>
        <v>492</v>
      </c>
    </row>
    <row r="26" spans="1:45" ht="14.25">
      <c r="A26" s="2949">
        <v>108</v>
      </c>
      <c r="B26" s="2950">
        <v>133.59</v>
      </c>
      <c r="C26" s="24">
        <f t="shared" ref="C26:C89" si="6">IF(B26="",1,(LOOKUP(B26,$3:$3,$4:$4)-LOOKUP($B$24,$3:$3,$4:$4)+100)/100)</f>
        <v>1</v>
      </c>
      <c r="D26" s="706" t="s">
        <v>3065</v>
      </c>
      <c r="E26" s="24">
        <f t="shared" ref="E26:E89" si="7">(SUMIF($5:$5,D26,$6:$6)-SUMIF($5:$5,$D$24,$6:$6)+100)/100</f>
        <v>1</v>
      </c>
      <c r="F26" s="706" t="s">
        <v>3046</v>
      </c>
      <c r="G26" s="24">
        <f t="shared" ref="G26:G89" si="8">(SUMIF($7:$7,F26,$8:$8)-SUMIF($7:$7,$F$24,$8:$8)+100)/100</f>
        <v>1</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ca="1" si="14">IF(B26="",0,ROUND($R$24*C26*E26*G26*I26*K26*M26*O26*Q26,0))</f>
        <v>34519</v>
      </c>
      <c r="S26" s="352">
        <f t="shared" ca="1" si="5"/>
        <v>461</v>
      </c>
    </row>
    <row r="27" spans="1:45" ht="14.25">
      <c r="A27" s="2949">
        <v>109</v>
      </c>
      <c r="B27" s="2950">
        <v>125.85</v>
      </c>
      <c r="C27" s="24">
        <f t="shared" si="6"/>
        <v>1</v>
      </c>
      <c r="D27" s="706" t="s">
        <v>3065</v>
      </c>
      <c r="E27" s="24">
        <f t="shared" si="7"/>
        <v>1</v>
      </c>
      <c r="F27" s="706" t="s">
        <v>3046</v>
      </c>
      <c r="G27" s="24">
        <f t="shared" si="8"/>
        <v>1</v>
      </c>
      <c r="H27" s="706"/>
      <c r="I27" s="24">
        <f t="shared" si="9"/>
        <v>1</v>
      </c>
      <c r="J27" s="706"/>
      <c r="K27" s="24">
        <f t="shared" si="10"/>
        <v>1</v>
      </c>
      <c r="L27" s="706"/>
      <c r="M27" s="24">
        <f t="shared" si="11"/>
        <v>1</v>
      </c>
      <c r="N27" s="706"/>
      <c r="O27" s="24">
        <f t="shared" si="12"/>
        <v>1</v>
      </c>
      <c r="P27" s="706"/>
      <c r="Q27" s="24">
        <f t="shared" si="13"/>
        <v>1</v>
      </c>
      <c r="R27" s="703">
        <f t="shared" ca="1" si="14"/>
        <v>34519</v>
      </c>
      <c r="S27" s="352">
        <f t="shared" ca="1" si="5"/>
        <v>434</v>
      </c>
    </row>
    <row r="28" spans="1:45" ht="14.25">
      <c r="A28" s="2949">
        <v>110</v>
      </c>
      <c r="B28" s="2950">
        <v>28.82</v>
      </c>
      <c r="C28" s="24">
        <f t="shared" si="6"/>
        <v>1.02</v>
      </c>
      <c r="D28" s="706" t="s">
        <v>3089</v>
      </c>
      <c r="E28" s="24">
        <f t="shared" si="7"/>
        <v>0.9</v>
      </c>
      <c r="F28" s="706" t="s">
        <v>3046</v>
      </c>
      <c r="G28" s="24">
        <f t="shared" si="8"/>
        <v>1</v>
      </c>
      <c r="H28" s="706"/>
      <c r="I28" s="24">
        <f t="shared" si="9"/>
        <v>1</v>
      </c>
      <c r="J28" s="706"/>
      <c r="K28" s="24">
        <f t="shared" si="10"/>
        <v>1</v>
      </c>
      <c r="L28" s="706"/>
      <c r="M28" s="24">
        <f t="shared" si="11"/>
        <v>1</v>
      </c>
      <c r="N28" s="706"/>
      <c r="O28" s="24">
        <f t="shared" si="12"/>
        <v>1</v>
      </c>
      <c r="P28" s="706"/>
      <c r="Q28" s="24">
        <f t="shared" si="13"/>
        <v>1</v>
      </c>
      <c r="R28" s="703">
        <f t="shared" ca="1" si="14"/>
        <v>31688</v>
      </c>
      <c r="S28" s="352">
        <f t="shared" ca="1" si="5"/>
        <v>91</v>
      </c>
    </row>
    <row r="29" spans="1:45" ht="14.25">
      <c r="A29" s="2949">
        <v>111</v>
      </c>
      <c r="B29" s="2950">
        <v>95.71</v>
      </c>
      <c r="C29" s="24">
        <f t="shared" si="6"/>
        <v>1.02</v>
      </c>
      <c r="D29" s="706" t="s">
        <v>3089</v>
      </c>
      <c r="E29" s="24">
        <f t="shared" si="7"/>
        <v>0.9</v>
      </c>
      <c r="F29" s="706" t="s">
        <v>3082</v>
      </c>
      <c r="G29" s="24">
        <f t="shared" si="8"/>
        <v>1.05</v>
      </c>
      <c r="H29" s="706"/>
      <c r="I29" s="24">
        <f t="shared" si="9"/>
        <v>1</v>
      </c>
      <c r="J29" s="706"/>
      <c r="K29" s="24">
        <f t="shared" si="10"/>
        <v>1</v>
      </c>
      <c r="L29" s="706"/>
      <c r="M29" s="24">
        <f t="shared" si="11"/>
        <v>1</v>
      </c>
      <c r="N29" s="706"/>
      <c r="O29" s="24">
        <f t="shared" si="12"/>
        <v>1</v>
      </c>
      <c r="P29" s="706"/>
      <c r="Q29" s="24">
        <f t="shared" si="13"/>
        <v>1</v>
      </c>
      <c r="R29" s="703">
        <f t="shared" ca="1" si="14"/>
        <v>33273</v>
      </c>
      <c r="S29" s="352">
        <f t="shared" ca="1" si="5"/>
        <v>318</v>
      </c>
    </row>
    <row r="30" spans="1:45" ht="14.25">
      <c r="A30" s="2949">
        <v>112</v>
      </c>
      <c r="B30" s="2950">
        <v>28.82</v>
      </c>
      <c r="C30" s="24">
        <f t="shared" si="6"/>
        <v>1.02</v>
      </c>
      <c r="D30" s="706" t="s">
        <v>3089</v>
      </c>
      <c r="E30" s="24">
        <f t="shared" si="7"/>
        <v>0.9</v>
      </c>
      <c r="F30" s="706" t="s">
        <v>3082</v>
      </c>
      <c r="G30" s="24">
        <f t="shared" si="8"/>
        <v>1.05</v>
      </c>
      <c r="H30" s="706"/>
      <c r="I30" s="24">
        <f t="shared" si="9"/>
        <v>1</v>
      </c>
      <c r="J30" s="706"/>
      <c r="K30" s="24">
        <f t="shared" si="10"/>
        <v>1</v>
      </c>
      <c r="L30" s="706"/>
      <c r="M30" s="24">
        <f t="shared" si="11"/>
        <v>1</v>
      </c>
      <c r="N30" s="706"/>
      <c r="O30" s="24">
        <f t="shared" si="12"/>
        <v>1</v>
      </c>
      <c r="P30" s="706"/>
      <c r="Q30" s="24">
        <f t="shared" si="13"/>
        <v>1</v>
      </c>
      <c r="R30" s="703">
        <f t="shared" ca="1" si="14"/>
        <v>33273</v>
      </c>
      <c r="S30" s="352">
        <f t="shared" ca="1" si="5"/>
        <v>96</v>
      </c>
    </row>
    <row r="31" spans="1:45" ht="14.25">
      <c r="A31" s="2949"/>
      <c r="B31" s="2950"/>
      <c r="C31" s="24">
        <f t="shared" si="6"/>
        <v>1</v>
      </c>
      <c r="D31" s="706"/>
      <c r="E31" s="24">
        <f t="shared" si="7"/>
        <v>0.2</v>
      </c>
      <c r="F31" s="706"/>
      <c r="G31" s="24">
        <f t="shared" si="8"/>
        <v>0.05</v>
      </c>
      <c r="H31" s="706"/>
      <c r="I31" s="24">
        <f t="shared" si="9"/>
        <v>1</v>
      </c>
      <c r="J31" s="706"/>
      <c r="K31" s="24">
        <f t="shared" si="10"/>
        <v>1</v>
      </c>
      <c r="L31" s="706"/>
      <c r="M31" s="24">
        <f t="shared" si="11"/>
        <v>1</v>
      </c>
      <c r="N31" s="706"/>
      <c r="O31" s="24">
        <f t="shared" si="12"/>
        <v>1</v>
      </c>
      <c r="P31" s="706"/>
      <c r="Q31" s="24">
        <f t="shared" si="13"/>
        <v>1</v>
      </c>
      <c r="R31" s="703">
        <f t="shared" si="14"/>
        <v>0</v>
      </c>
      <c r="S31" s="352">
        <f t="shared" si="5"/>
        <v>0</v>
      </c>
    </row>
    <row r="32" spans="1:45" ht="14.25">
      <c r="A32" s="2949"/>
      <c r="B32" s="2950"/>
      <c r="C32" s="24">
        <f t="shared" si="6"/>
        <v>1</v>
      </c>
      <c r="D32" s="706"/>
      <c r="E32" s="24">
        <f t="shared" si="7"/>
        <v>0.2</v>
      </c>
      <c r="F32" s="706"/>
      <c r="G32" s="24">
        <f t="shared" si="8"/>
        <v>0.05</v>
      </c>
      <c r="H32" s="706"/>
      <c r="I32" s="24">
        <f t="shared" si="9"/>
        <v>1</v>
      </c>
      <c r="J32" s="706"/>
      <c r="K32" s="24">
        <f t="shared" si="10"/>
        <v>1</v>
      </c>
      <c r="L32" s="706"/>
      <c r="M32" s="24">
        <f t="shared" si="11"/>
        <v>1</v>
      </c>
      <c r="N32" s="706"/>
      <c r="O32" s="24">
        <f t="shared" si="12"/>
        <v>1</v>
      </c>
      <c r="P32" s="706"/>
      <c r="Q32" s="24">
        <f t="shared" si="13"/>
        <v>1</v>
      </c>
      <c r="R32" s="703">
        <f t="shared" si="14"/>
        <v>0</v>
      </c>
      <c r="S32" s="352">
        <f t="shared" si="5"/>
        <v>0</v>
      </c>
    </row>
    <row r="33" spans="1:19" ht="14.25">
      <c r="A33" s="2949"/>
      <c r="B33" s="2950"/>
      <c r="C33" s="24">
        <f t="shared" si="6"/>
        <v>1</v>
      </c>
      <c r="D33" s="706"/>
      <c r="E33" s="24">
        <f t="shared" si="7"/>
        <v>0.2</v>
      </c>
      <c r="F33" s="706"/>
      <c r="G33" s="24">
        <f t="shared" si="8"/>
        <v>0.05</v>
      </c>
      <c r="H33" s="706"/>
      <c r="I33" s="24">
        <f t="shared" si="9"/>
        <v>1</v>
      </c>
      <c r="J33" s="706"/>
      <c r="K33" s="24">
        <f t="shared" si="10"/>
        <v>1</v>
      </c>
      <c r="L33" s="706"/>
      <c r="M33" s="24">
        <f t="shared" si="11"/>
        <v>1</v>
      </c>
      <c r="N33" s="706"/>
      <c r="O33" s="24">
        <f t="shared" si="12"/>
        <v>1</v>
      </c>
      <c r="P33" s="706"/>
      <c r="Q33" s="24">
        <f t="shared" si="13"/>
        <v>1</v>
      </c>
      <c r="R33" s="703">
        <f t="shared" si="14"/>
        <v>0</v>
      </c>
      <c r="S33" s="352">
        <f t="shared" si="5"/>
        <v>0</v>
      </c>
    </row>
    <row r="34" spans="1:19" ht="14.25">
      <c r="A34" s="2949"/>
      <c r="B34" s="2950"/>
      <c r="C34" s="24">
        <f t="shared" si="6"/>
        <v>1</v>
      </c>
      <c r="D34" s="706"/>
      <c r="E34" s="24">
        <f t="shared" si="7"/>
        <v>0.2</v>
      </c>
      <c r="F34" s="706"/>
      <c r="G34" s="24">
        <f t="shared" si="8"/>
        <v>0.05</v>
      </c>
      <c r="H34" s="706"/>
      <c r="I34" s="24">
        <f t="shared" si="9"/>
        <v>1</v>
      </c>
      <c r="J34" s="706"/>
      <c r="K34" s="24">
        <f t="shared" si="10"/>
        <v>1</v>
      </c>
      <c r="L34" s="706"/>
      <c r="M34" s="24">
        <f t="shared" si="11"/>
        <v>1</v>
      </c>
      <c r="N34" s="706"/>
      <c r="O34" s="24">
        <f t="shared" si="12"/>
        <v>1</v>
      </c>
      <c r="P34" s="706"/>
      <c r="Q34" s="24">
        <f t="shared" si="13"/>
        <v>1</v>
      </c>
      <c r="R34" s="703">
        <f t="shared" si="14"/>
        <v>0</v>
      </c>
      <c r="S34" s="352">
        <f t="shared" si="5"/>
        <v>0</v>
      </c>
    </row>
    <row r="35" spans="1:19" ht="14.25">
      <c r="A35" s="2949"/>
      <c r="B35" s="2950"/>
      <c r="C35" s="24">
        <f t="shared" si="6"/>
        <v>1</v>
      </c>
      <c r="D35" s="706"/>
      <c r="E35" s="24">
        <f t="shared" si="7"/>
        <v>0.2</v>
      </c>
      <c r="F35" s="706"/>
      <c r="G35" s="24">
        <f t="shared" si="8"/>
        <v>0.05</v>
      </c>
      <c r="H35" s="706"/>
      <c r="I35" s="24">
        <f t="shared" si="9"/>
        <v>1</v>
      </c>
      <c r="J35" s="706"/>
      <c r="K35" s="24">
        <f t="shared" si="10"/>
        <v>1</v>
      </c>
      <c r="L35" s="706"/>
      <c r="M35" s="24">
        <f t="shared" si="11"/>
        <v>1</v>
      </c>
      <c r="N35" s="706"/>
      <c r="O35" s="24">
        <f t="shared" si="12"/>
        <v>1</v>
      </c>
      <c r="P35" s="706"/>
      <c r="Q35" s="24">
        <f t="shared" si="13"/>
        <v>1</v>
      </c>
      <c r="R35" s="703">
        <f t="shared" si="14"/>
        <v>0</v>
      </c>
      <c r="S35" s="352">
        <f t="shared" si="5"/>
        <v>0</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sheetPr codeName="Sheet46"/>
  <dimension ref="A1"/>
  <sheetViews>
    <sheetView workbookViewId="0">
      <selection activeCell="Q8" sqref="Q8"/>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sheetPr codeName="Sheet47"/>
  <dimension ref="A1"/>
  <sheetViews>
    <sheetView workbookViewId="0">
      <selection activeCell="M115" sqref="M11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927" customWidth="1"/>
    <col min="2" max="9" width="12.125" style="1927" customWidth="1"/>
    <col min="10" max="16384" width="9" style="1927"/>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1635</v>
      </c>
      <c r="B2" s="3019" t="s">
        <v>1636</v>
      </c>
      <c r="C2" s="3019" t="s">
        <v>1637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27" t="s">
        <v>1632</v>
      </c>
      <c r="E3" s="1027" t="s">
        <v>1638</v>
      </c>
      <c r="F3" s="1027" t="s">
        <v>1632</v>
      </c>
      <c r="G3" s="1027" t="s">
        <v>1633</v>
      </c>
      <c r="H3" s="1027" t="s">
        <v>1632</v>
      </c>
      <c r="I3" s="1027" t="s">
        <v>1633</v>
      </c>
    </row>
    <row r="4" spans="1:9" ht="15">
      <c r="A4" s="1955" t="str">
        <f>项目基本情况!S2</f>
        <v>北京市房地产</v>
      </c>
      <c r="B4" s="1027">
        <f>项目基本情况!C17</f>
        <v>1266.6499999999999</v>
      </c>
      <c r="C4" s="1027">
        <f>项目基本情况!C18</f>
        <v>0</v>
      </c>
      <c r="D4" s="1027" t="e">
        <f ca="1">结果表!D118</f>
        <v>#REF!</v>
      </c>
      <c r="E4" s="1027" t="e">
        <f ca="1">结果表!E118</f>
        <v>#REF!</v>
      </c>
      <c r="F4" s="1027" t="e">
        <f ca="1">结果表!F118</f>
        <v>#REF!</v>
      </c>
      <c r="G4" s="1027" t="e">
        <f ca="1">结果表!G118</f>
        <v>#REF!</v>
      </c>
      <c r="H4" s="1027">
        <f ca="1">结果表!H118</f>
        <v>435</v>
      </c>
      <c r="I4" s="1027">
        <f ca="1">结果表!I118</f>
        <v>3434</v>
      </c>
    </row>
    <row r="5" spans="1:9" ht="30" customHeight="1">
      <c r="A5" s="3020" t="s">
        <v>1634</v>
      </c>
      <c r="B5" s="3020"/>
      <c r="C5" s="3020"/>
      <c r="D5" s="3021" t="e">
        <f ca="1">结果表!D119</f>
        <v>#REF!</v>
      </c>
      <c r="E5" s="3021"/>
      <c r="F5" s="3021" t="e">
        <f ca="1">结果表!F119</f>
        <v>#REF!</v>
      </c>
      <c r="G5" s="3021"/>
      <c r="H5" s="3021" t="str">
        <f ca="1">结果表!H119</f>
        <v>肆佰叁拾伍万元整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1634</v>
      </c>
      <c r="B7" s="3020"/>
      <c r="C7" s="3020"/>
      <c r="D7" s="3023" t="str">
        <f>结果表!D121</f>
        <v>零元整</v>
      </c>
      <c r="E7" s="3024"/>
      <c r="F7" s="3024"/>
      <c r="G7" s="3024"/>
      <c r="H7" s="3024"/>
      <c r="I7" s="3025"/>
    </row>
    <row r="8" spans="1:9" ht="15.75">
      <c r="A8" s="3022" t="str">
        <f>结果表!A122</f>
        <v>房地产抵押价值</v>
      </c>
      <c r="B8" s="3022"/>
      <c r="C8" s="3022"/>
      <c r="D8" s="3022">
        <f ca="1">结果表!D122</f>
        <v>435</v>
      </c>
      <c r="E8" s="3022"/>
      <c r="F8" s="3022"/>
      <c r="G8" s="3022"/>
      <c r="H8" s="3022"/>
      <c r="I8" s="3022"/>
    </row>
    <row r="9" spans="1:9" ht="15">
      <c r="A9" s="3020" t="s">
        <v>1634</v>
      </c>
      <c r="B9" s="3020"/>
      <c r="C9" s="3020"/>
      <c r="D9" s="3021" t="str">
        <f ca="1">结果表!D123</f>
        <v>肆佰叁拾伍万元整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1634</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1634</v>
      </c>
      <c r="B13" s="3026"/>
      <c r="C13" s="3026"/>
      <c r="D13" s="3027" t="e">
        <f>结果表!D127</f>
        <v>#VALUE!</v>
      </c>
      <c r="E13" s="3027"/>
      <c r="F13" s="3027"/>
      <c r="G13" s="3027"/>
      <c r="H13" s="3027"/>
      <c r="I13" s="3027"/>
    </row>
    <row r="14" spans="1:9" ht="15" thickTop="1">
      <c r="A14" s="3028" t="s">
        <v>1639</v>
      </c>
      <c r="B14" s="3028"/>
      <c r="C14" s="3028"/>
      <c r="D14" s="3028"/>
      <c r="E14" s="3028"/>
      <c r="F14" s="3028"/>
      <c r="G14" s="3028"/>
      <c r="H14" s="3028"/>
      <c r="I14" s="3028"/>
    </row>
    <row r="16" spans="1:9" ht="18.75">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27" customWidth="1"/>
    <col min="2" max="3" width="22.375" style="1927" customWidth="1"/>
    <col min="4" max="4" width="23" style="1927" customWidth="1"/>
    <col min="5" max="16384" width="9" style="1927"/>
  </cols>
  <sheetData>
    <row r="1" spans="1:4" ht="18.75">
      <c r="A1" s="3029" t="s">
        <v>1656</v>
      </c>
      <c r="B1" s="3029"/>
      <c r="C1" s="3029"/>
      <c r="D1" s="3029"/>
    </row>
    <row r="2" spans="1:4" ht="18">
      <c r="A2" s="3030" t="s">
        <v>1640</v>
      </c>
      <c r="B2" s="3030"/>
      <c r="C2" s="3030"/>
      <c r="D2" s="3030"/>
    </row>
    <row r="3" spans="1:4" ht="18.75">
      <c r="A3" s="1959" t="s">
        <v>1641</v>
      </c>
      <c r="B3" s="1959" t="s">
        <v>1642</v>
      </c>
      <c r="C3" s="1959" t="s">
        <v>1643</v>
      </c>
      <c r="D3" s="1959" t="s">
        <v>1644</v>
      </c>
    </row>
    <row r="4" spans="1:4" ht="56.25" customHeight="1">
      <c r="A4" s="1960" t="str">
        <f>项目基本情况!B4</f>
        <v>王鹏</v>
      </c>
      <c r="B4" s="1961">
        <f ca="1">项目基本情况!C4</f>
        <v>1120050019</v>
      </c>
      <c r="C4" s="1962"/>
      <c r="D4" s="1963" t="s">
        <v>1645</v>
      </c>
    </row>
    <row r="5" spans="1:4" ht="56.25" customHeight="1">
      <c r="A5" s="1960" t="str">
        <f>项目基本情况!D4</f>
        <v>郑燚</v>
      </c>
      <c r="B5" s="1961">
        <f ca="1">项目基本情况!E4</f>
        <v>1120070131</v>
      </c>
      <c r="C5" s="1964"/>
      <c r="D5" s="1963" t="s">
        <v>1645</v>
      </c>
    </row>
    <row r="6" spans="1:4" ht="18">
      <c r="A6" s="3030" t="s">
        <v>1646</v>
      </c>
      <c r="B6" s="3030"/>
      <c r="C6" s="3030"/>
      <c r="D6" s="3030"/>
    </row>
    <row r="7" spans="1:4" ht="18.75">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8.75">
      <c r="A10" s="1966" t="s">
        <v>1648</v>
      </c>
      <c r="B10" s="711"/>
      <c r="C10" s="711"/>
      <c r="D10" s="711"/>
    </row>
    <row r="11" spans="1:4" ht="30" customHeight="1">
      <c r="A11" s="3031" t="s">
        <v>1649</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1650</v>
      </c>
      <c r="B16" s="3035"/>
      <c r="C16" s="3035"/>
      <c r="D16" s="3035"/>
    </row>
    <row r="17" spans="1:4" ht="144" customHeight="1">
      <c r="A17" s="3035" t="s">
        <v>1651</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1652</v>
      </c>
      <c r="B22" s="3037"/>
      <c r="C22" s="3037"/>
      <c r="D22" s="3037"/>
    </row>
    <row r="23" spans="1:4">
      <c r="A23" s="1967"/>
      <c r="B23" s="1939"/>
      <c r="C23" s="1939"/>
      <c r="D23" s="1939"/>
    </row>
    <row r="24" spans="1:4">
      <c r="A24" s="1967"/>
      <c r="B24" s="1939"/>
      <c r="C24" s="1939"/>
      <c r="D24" s="1939"/>
    </row>
    <row r="25" spans="1:4" ht="18.75">
      <c r="A25" s="1968" t="s">
        <v>1653</v>
      </c>
    </row>
    <row r="26" spans="1:4" ht="18">
      <c r="A26" s="1937"/>
    </row>
    <row r="27" spans="1:4" ht="18.75">
      <c r="A27" s="1937" t="s">
        <v>1654</v>
      </c>
    </row>
    <row r="30" spans="1:4" ht="18.75">
      <c r="D30" s="1968" t="s">
        <v>1655</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codeName="Sheet21">
    <tabColor rgb="FF002060"/>
  </sheetPr>
  <dimension ref="A1:J31"/>
  <sheetViews>
    <sheetView view="pageLayout" workbookViewId="0">
      <selection activeCell="C5" sqref="C5"/>
    </sheetView>
  </sheetViews>
  <sheetFormatPr defaultColWidth="9" defaultRowHeight="13.5"/>
  <cols>
    <col min="1" max="2" width="13.125" style="1925" customWidth="1"/>
    <col min="3" max="10" width="12.5" style="1925" customWidth="1"/>
    <col min="11" max="16384" width="9" style="1925"/>
  </cols>
  <sheetData>
    <row r="1" spans="1:10" ht="18.75">
      <c r="A1" s="1958" t="s">
        <v>866</v>
      </c>
      <c r="B1" s="1969"/>
      <c r="C1" s="1969"/>
      <c r="D1" s="1969"/>
      <c r="E1" s="1969"/>
      <c r="F1" s="1969"/>
      <c r="G1" s="1969"/>
      <c r="H1" s="1969"/>
      <c r="I1" s="1969"/>
      <c r="J1" s="1969"/>
    </row>
    <row r="2" spans="1:10" ht="18.75">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5" customWidth="1"/>
    <col min="2" max="16384" width="14.5" style="1957"/>
  </cols>
  <sheetData>
    <row r="1" spans="1:7" s="1972" customFormat="1" ht="18.75">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3.5">
      <c r="A15" s="3043" t="s">
        <v>1663</v>
      </c>
      <c r="B15" s="3038" t="s">
        <v>136</v>
      </c>
      <c r="C15" s="3039"/>
    </row>
    <row r="16" spans="1:7" ht="13.5">
      <c r="A16" s="3044"/>
      <c r="B16" s="3038" t="s">
        <v>69</v>
      </c>
      <c r="C16" s="3039"/>
    </row>
    <row r="17" spans="1:3" ht="13.5">
      <c r="A17" s="3044"/>
      <c r="B17" s="3041" t="s">
        <v>1664</v>
      </c>
      <c r="C17" s="1982" t="s">
        <v>1663</v>
      </c>
    </row>
    <row r="18" spans="1:3" ht="13.5">
      <c r="A18" s="3044"/>
      <c r="B18" s="3041"/>
      <c r="C18" s="1982" t="s">
        <v>1665</v>
      </c>
    </row>
    <row r="19" spans="1:3" ht="13.5">
      <c r="A19" s="3044"/>
      <c r="B19" s="3041"/>
      <c r="C19" s="1982" t="s">
        <v>1666</v>
      </c>
    </row>
    <row r="20" spans="1:3" ht="13.5">
      <c r="A20" s="3045"/>
      <c r="B20" s="3040" t="s">
        <v>1667</v>
      </c>
      <c r="C20" s="3039"/>
    </row>
    <row r="21" spans="1:3" ht="13.5">
      <c r="A21" s="1983" t="s">
        <v>1668</v>
      </c>
      <c r="B21" s="1984"/>
      <c r="C21" s="1985"/>
    </row>
    <row r="22" spans="1:3" ht="13.5">
      <c r="A22" s="3042" t="s">
        <v>1669</v>
      </c>
      <c r="B22" s="3040" t="s">
        <v>1670</v>
      </c>
      <c r="C22" s="3039"/>
    </row>
    <row r="23" spans="1:3" ht="13.5">
      <c r="A23" s="3042"/>
      <c r="B23" s="3040" t="s">
        <v>1671</v>
      </c>
      <c r="C23" s="3039"/>
    </row>
    <row r="24" spans="1:3" ht="13.5">
      <c r="A24" s="3042"/>
      <c r="B24" s="3040" t="s">
        <v>1672</v>
      </c>
      <c r="C24" s="3039"/>
    </row>
    <row r="25" spans="1:3" ht="13.5">
      <c r="A25" s="3042"/>
      <c r="B25" s="3041" t="s">
        <v>1673</v>
      </c>
      <c r="C25" s="1982" t="s">
        <v>1674</v>
      </c>
    </row>
    <row r="26" spans="1:3" ht="13.5">
      <c r="A26" s="3042"/>
      <c r="B26" s="3041"/>
      <c r="C26" s="1982" t="s">
        <v>1675</v>
      </c>
    </row>
    <row r="27" spans="1:3" ht="13.5">
      <c r="A27" s="3042"/>
      <c r="B27" s="3041"/>
      <c r="C27" s="1982" t="s">
        <v>1676</v>
      </c>
    </row>
    <row r="28" spans="1:3" ht="13.5">
      <c r="A28" s="3042"/>
      <c r="B28" s="3041"/>
      <c r="C28" s="1982" t="s">
        <v>1677</v>
      </c>
    </row>
    <row r="29" spans="1:3" ht="13.5">
      <c r="A29" s="3042"/>
      <c r="B29" s="3041"/>
      <c r="C29" s="1982" t="s">
        <v>1678</v>
      </c>
    </row>
    <row r="30" spans="1:3" ht="13.5">
      <c r="A30" s="3042"/>
      <c r="B30" s="3041"/>
      <c r="C30" s="1982" t="s">
        <v>1679</v>
      </c>
    </row>
    <row r="31" spans="1:3" ht="13.5">
      <c r="A31" s="3042"/>
      <c r="B31" s="3041"/>
      <c r="C31" s="1982" t="s">
        <v>1680</v>
      </c>
    </row>
    <row r="32" spans="1:3" ht="13.5">
      <c r="A32" s="3042"/>
      <c r="B32" s="3041"/>
      <c r="C32" s="1982" t="s">
        <v>1681</v>
      </c>
    </row>
    <row r="33" spans="1:3" ht="13.5">
      <c r="A33" s="3042"/>
      <c r="B33" s="3041"/>
      <c r="C33" s="1982" t="s">
        <v>1682</v>
      </c>
    </row>
    <row r="34" spans="1:3">
      <c r="A34" s="1986" t="s">
        <v>76</v>
      </c>
    </row>
    <row r="37" spans="1:3">
      <c r="A37" s="1986" t="s">
        <v>1683</v>
      </c>
    </row>
    <row r="38" spans="1:3" ht="13.5">
      <c r="A38" s="1987" t="s">
        <v>77</v>
      </c>
    </row>
    <row r="39" spans="1:3" ht="13.5">
      <c r="A39" s="1987" t="s">
        <v>78</v>
      </c>
    </row>
    <row r="40" spans="1:3" ht="13.5">
      <c r="A40" s="1987" t="s">
        <v>79</v>
      </c>
    </row>
    <row r="41" spans="1:3" ht="13.5">
      <c r="A41" s="1988" t="s">
        <v>80</v>
      </c>
    </row>
    <row r="42" spans="1:3" ht="13.5">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codeName="Sheet28">
    <pageSetUpPr fitToPage="1"/>
  </sheetPr>
  <dimension ref="A2:G30"/>
  <sheetViews>
    <sheetView view="pageBreakPreview" zoomScale="70" zoomScaleSheetLayoutView="70" workbookViewId="0">
      <selection activeCell="C15" sqref="C15"/>
    </sheetView>
  </sheetViews>
  <sheetFormatPr defaultColWidth="22.625" defaultRowHeight="24" customHeight="1"/>
  <cols>
    <col min="1" max="2" width="22.625" style="998"/>
    <col min="3" max="3" width="32.25" style="998" customWidth="1"/>
    <col min="4" max="5" width="22.625" style="998"/>
    <col min="6" max="6" width="25.625" style="998" customWidth="1"/>
    <col min="7" max="16384" width="22.625" style="998"/>
  </cols>
  <sheetData>
    <row r="2" spans="1:6" ht="24" customHeight="1">
      <c r="A2" s="1000" t="s">
        <v>825</v>
      </c>
      <c r="B2" s="1001">
        <f ca="1">TODAY()</f>
        <v>43890</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t="str">
        <f ca="1">IF(C4&lt;B2,"已过期",1119970066)</f>
        <v>已过期</v>
      </c>
      <c r="C4" s="2329">
        <v>43849</v>
      </c>
      <c r="D4" s="2332" t="s">
        <v>832</v>
      </c>
      <c r="E4" s="1005">
        <f ca="1">IF(F4&lt;B2,"已过期",96010014)</f>
        <v>96010014</v>
      </c>
      <c r="F4" s="1013">
        <v>47118</v>
      </c>
    </row>
    <row r="5" spans="1:6" ht="24" customHeight="1">
      <c r="A5" s="1685"/>
      <c r="B5" s="1005"/>
      <c r="C5" s="2329"/>
      <c r="D5" s="2332"/>
      <c r="E5" s="1005"/>
      <c r="F5" s="1013"/>
    </row>
    <row r="6" spans="1:6" ht="24" customHeight="1">
      <c r="A6" s="1685" t="s">
        <v>833</v>
      </c>
      <c r="B6" s="1005">
        <f ca="1">IF(C6&lt;B2,"已过期",1119970111)</f>
        <v>1119970111</v>
      </c>
      <c r="C6" s="2329">
        <v>44876</v>
      </c>
      <c r="D6" s="2332" t="s">
        <v>833</v>
      </c>
      <c r="E6" s="1005">
        <f ca="1">IF(F6&lt;B2,"已过期",94010078)</f>
        <v>94010078</v>
      </c>
      <c r="F6" s="1013">
        <v>46387</v>
      </c>
    </row>
    <row r="7" spans="1:6" ht="24" customHeight="1">
      <c r="A7" s="1685" t="s">
        <v>834</v>
      </c>
      <c r="B7" s="1005">
        <f ca="1">IF(C7&lt;B2,"已过期",1120050019)</f>
        <v>1120050019</v>
      </c>
      <c r="C7" s="2329">
        <v>44395</v>
      </c>
      <c r="D7" s="2332" t="s">
        <v>834</v>
      </c>
      <c r="E7" s="1005">
        <f ca="1">IF(F7&lt;B2,"已过期",2002110030)</f>
        <v>2002110030</v>
      </c>
      <c r="F7" s="1013">
        <v>46387</v>
      </c>
    </row>
    <row r="8" spans="1:6" ht="24" customHeight="1">
      <c r="A8" s="1685" t="s">
        <v>835</v>
      </c>
      <c r="B8" s="1005" t="str">
        <f ca="1">IF(C8&lt;B2,"已过期",1120000080)</f>
        <v>已过期</v>
      </c>
      <c r="C8" s="2329">
        <v>43849</v>
      </c>
      <c r="D8" s="2332" t="s">
        <v>835</v>
      </c>
      <c r="E8" s="1005">
        <f ca="1">IF(F8&lt;B2,"已过期",2000110082)</f>
        <v>2000110082</v>
      </c>
      <c r="F8" s="1013">
        <v>46387</v>
      </c>
    </row>
    <row r="9" spans="1:6" ht="24" customHeight="1">
      <c r="A9" s="1685" t="s">
        <v>836</v>
      </c>
      <c r="B9" s="1005" t="str">
        <f ca="1">IF(C9&lt;B2,"已过期",1419970001)</f>
        <v>已过期</v>
      </c>
      <c r="C9" s="2329">
        <v>43867</v>
      </c>
      <c r="D9" s="2332" t="s">
        <v>836</v>
      </c>
      <c r="E9" s="1005">
        <f ca="1">IF(F9&lt;B2,"已过期",2002110125)</f>
        <v>2002110125</v>
      </c>
      <c r="F9" s="1013">
        <v>47118</v>
      </c>
    </row>
    <row r="10" spans="1:6" ht="24" customHeight="1">
      <c r="A10" s="1685" t="s">
        <v>837</v>
      </c>
      <c r="B10" s="1005">
        <f ca="1">IF(C10&lt;B2,"已过期",1120060040)</f>
        <v>1120060040</v>
      </c>
      <c r="C10" s="2329">
        <v>44554</v>
      </c>
      <c r="D10" s="2332" t="s">
        <v>837</v>
      </c>
      <c r="E10" s="1005">
        <f ca="1">IF(F10&lt;B2,"已过期",2004110096)</f>
        <v>2004110096</v>
      </c>
      <c r="F10" s="1013">
        <v>47118</v>
      </c>
    </row>
    <row r="11" spans="1:6" ht="24" customHeight="1">
      <c r="A11" s="1685" t="s">
        <v>838</v>
      </c>
      <c r="B11" s="1005">
        <f ca="1">IF(C11&lt;B2,"已过期",1120100036)</f>
        <v>1120100036</v>
      </c>
      <c r="C11" s="2329">
        <v>44675</v>
      </c>
      <c r="D11" s="2332" t="s">
        <v>838</v>
      </c>
      <c r="E11" s="1005">
        <f ca="1">IF(F11&lt;B2,"已过期",2010110070)</f>
        <v>2010110070</v>
      </c>
      <c r="F11" s="1013">
        <v>47907</v>
      </c>
    </row>
    <row r="12" spans="1:6" ht="24" customHeight="1">
      <c r="A12" s="1685"/>
      <c r="B12" s="1005"/>
      <c r="C12" s="2911"/>
      <c r="D12" s="1685"/>
      <c r="E12" s="1005"/>
      <c r="F12" s="1013"/>
    </row>
    <row r="13" spans="1:6" ht="24" customHeight="1">
      <c r="A13" s="1685" t="s">
        <v>839</v>
      </c>
      <c r="B13" s="1005">
        <f ca="1">IF(C13&lt;B2,"已过期",1120070131)</f>
        <v>1120070131</v>
      </c>
      <c r="C13" s="2329">
        <v>44849</v>
      </c>
      <c r="D13" s="2332" t="s">
        <v>839</v>
      </c>
      <c r="E13" s="1005">
        <f ca="1">IF(F13&lt;B2,"已过期",2014110011)</f>
        <v>2014110011</v>
      </c>
      <c r="F13" s="1013">
        <v>49302</v>
      </c>
    </row>
    <row r="14" spans="1:6" ht="24" customHeight="1">
      <c r="A14" s="1685" t="s">
        <v>3030</v>
      </c>
      <c r="B14" s="1005">
        <f ca="1">IF(C14&lt;B2,"已过期",1120040230)</f>
        <v>1120040230</v>
      </c>
      <c r="C14" s="2329">
        <v>44864</v>
      </c>
      <c r="D14" s="2332" t="s">
        <v>3030</v>
      </c>
      <c r="E14" s="1005">
        <f ca="1">IF(F14&lt;B2,"已过期",98030020)</f>
        <v>98030020</v>
      </c>
      <c r="F14" s="1013">
        <v>47118</v>
      </c>
    </row>
    <row r="15" spans="1:6" ht="24" customHeight="1">
      <c r="A15" s="1686"/>
      <c r="B15" s="1005"/>
      <c r="C15" s="2329"/>
      <c r="D15" s="2333"/>
      <c r="E15" s="1005"/>
      <c r="F15" s="1006"/>
    </row>
    <row r="16" spans="1:6" ht="24" customHeight="1">
      <c r="A16" s="1685"/>
      <c r="B16" s="1005"/>
      <c r="C16" s="2911"/>
      <c r="D16" s="2332"/>
      <c r="E16" s="1005"/>
      <c r="F16" s="1013"/>
    </row>
    <row r="17" spans="1:7" ht="24" customHeight="1">
      <c r="A17" s="1685"/>
      <c r="B17" s="1005"/>
      <c r="C17" s="2329"/>
      <c r="D17" s="2332"/>
      <c r="E17" s="1005"/>
      <c r="F17" s="1013"/>
    </row>
    <row r="18" spans="1:7" ht="24" customHeight="1">
      <c r="A18" s="1685" t="s">
        <v>3037</v>
      </c>
      <c r="B18" s="1005">
        <v>1120190079</v>
      </c>
      <c r="C18" s="2911">
        <v>44826</v>
      </c>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840</v>
      </c>
      <c r="E21" s="1005">
        <f ca="1">IF(F21&lt;B2,"已过期",2011110090)</f>
        <v>2011110090</v>
      </c>
      <c r="F21" s="1013">
        <v>48302</v>
      </c>
    </row>
    <row r="22" spans="1:7" ht="24" customHeight="1">
      <c r="A22" s="1685" t="s">
        <v>841</v>
      </c>
      <c r="B22" s="1005">
        <f ca="1">IF(C22&lt;B2,"已过期",1120020033)</f>
        <v>1120020033</v>
      </c>
      <c r="C22" s="2911">
        <v>44339</v>
      </c>
      <c r="D22" s="2332" t="s">
        <v>841</v>
      </c>
      <c r="E22" s="1005">
        <f ca="1">IF(F22&lt;B2,"已过期",2000110137)</f>
        <v>2000110137</v>
      </c>
      <c r="F22" s="1013">
        <v>46387</v>
      </c>
    </row>
    <row r="23" spans="1:7" ht="24" customHeight="1">
      <c r="A23" s="1685" t="s">
        <v>3039</v>
      </c>
      <c r="B23" s="1005">
        <v>1119980106</v>
      </c>
      <c r="C23" s="2329">
        <v>43916</v>
      </c>
      <c r="D23" s="2332"/>
      <c r="E23" s="1005"/>
      <c r="F23" s="1005"/>
    </row>
    <row r="24" spans="1:7" s="1007" customFormat="1" ht="24" customHeight="1">
      <c r="A24" s="1686" t="s">
        <v>1328</v>
      </c>
      <c r="B24" s="1686" t="s">
        <v>1328</v>
      </c>
      <c r="C24" s="2330" t="s">
        <v>1328</v>
      </c>
      <c r="D24" s="2333" t="s">
        <v>1328</v>
      </c>
      <c r="E24" s="1686" t="s">
        <v>1328</v>
      </c>
      <c r="F24" s="1686" t="s">
        <v>1328</v>
      </c>
    </row>
    <row r="25" spans="1:7" ht="24" customHeight="1">
      <c r="A25" s="3046" t="s">
        <v>842</v>
      </c>
      <c r="B25" s="3046"/>
      <c r="C25" s="3046"/>
      <c r="D25" s="3046"/>
      <c r="E25" s="3046"/>
      <c r="F25" s="3046"/>
      <c r="G25" s="3046"/>
    </row>
    <row r="26" spans="1:7" s="1008" customFormat="1" ht="24" customHeight="1">
      <c r="A26" s="3047" t="s">
        <v>843</v>
      </c>
      <c r="B26" s="3047"/>
      <c r="C26" s="3048"/>
      <c r="D26" s="3049" t="s">
        <v>844</v>
      </c>
      <c r="E26" s="3047"/>
      <c r="F26" s="3047"/>
    </row>
    <row r="27" spans="1:7" s="1010" customFormat="1" ht="24" customHeight="1">
      <c r="A27" s="1009" t="s">
        <v>845</v>
      </c>
      <c r="B27" s="1004" t="s">
        <v>846</v>
      </c>
      <c r="C27" s="2328" t="s">
        <v>847</v>
      </c>
      <c r="D27" s="2335" t="s">
        <v>845</v>
      </c>
      <c r="E27" s="1004" t="s">
        <v>846</v>
      </c>
      <c r="F27" s="1004" t="s">
        <v>847</v>
      </c>
    </row>
    <row r="28" spans="1:7" s="1010" customFormat="1" ht="24" customHeight="1">
      <c r="A28" s="1011" t="s">
        <v>848</v>
      </c>
      <c r="B28" s="1012" t="s">
        <v>849</v>
      </c>
      <c r="C28" s="1013">
        <v>44820</v>
      </c>
      <c r="D28" s="2336" t="s">
        <v>850</v>
      </c>
      <c r="E28" s="1011" t="s">
        <v>851</v>
      </c>
      <c r="F28" s="1041">
        <v>44377</v>
      </c>
    </row>
    <row r="29" spans="1:7" s="1010" customFormat="1" ht="24" customHeight="1">
      <c r="A29" s="1011"/>
      <c r="B29" s="1011"/>
      <c r="C29" s="2334"/>
      <c r="D29" s="2336" t="s">
        <v>852</v>
      </c>
      <c r="E29" s="1185" t="s">
        <v>3038</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37" priority="97" stopIfTrue="1" operator="lessThan">
      <formula>$B$2</formula>
    </cfRule>
  </conditionalFormatting>
  <conditionalFormatting sqref="C5">
    <cfRule type="expression" dxfId="236" priority="92">
      <formula>AND($C5-TODAY()&lt;30,TODAY()&lt;$C5)</formula>
    </cfRule>
  </conditionalFormatting>
  <conditionalFormatting sqref="C5 F5">
    <cfRule type="cellIs" dxfId="235" priority="93" stopIfTrue="1" operator="lessThan">
      <formula>$B$2</formula>
    </cfRule>
  </conditionalFormatting>
  <conditionalFormatting sqref="F6 F8 F10">
    <cfRule type="cellIs" dxfId="234" priority="91" stopIfTrue="1" operator="lessThan">
      <formula>$B$2</formula>
    </cfRule>
  </conditionalFormatting>
  <conditionalFormatting sqref="C4:C11 C13 C23 C17 C19:C21">
    <cfRule type="expression" dxfId="233" priority="89">
      <formula>AND($C4-TODAY()&lt;30,TODAY()&lt;$C4)</formula>
    </cfRule>
  </conditionalFormatting>
  <conditionalFormatting sqref="F7 F9 F11 C4:C11 C13 C23 C17 C19:C21">
    <cfRule type="cellIs" dxfId="232" priority="90" stopIfTrue="1" operator="lessThan">
      <formula>$B$2</formula>
    </cfRule>
  </conditionalFormatting>
  <conditionalFormatting sqref="C20">
    <cfRule type="expression" dxfId="231" priority="77">
      <formula>AND($C20-TODAY()&lt;30,TODAY()&lt;$C20)</formula>
    </cfRule>
  </conditionalFormatting>
  <conditionalFormatting sqref="C20">
    <cfRule type="cellIs" dxfId="230" priority="78" stopIfTrue="1" operator="lessThan">
      <formula>$B$2</formula>
    </cfRule>
  </conditionalFormatting>
  <conditionalFormatting sqref="C17">
    <cfRule type="expression" dxfId="229" priority="71">
      <formula>AND($C17-TODAY()&lt;30,TODAY()&lt;$C17)</formula>
    </cfRule>
  </conditionalFormatting>
  <conditionalFormatting sqref="C17">
    <cfRule type="cellIs" dxfId="228" priority="72" stopIfTrue="1" operator="lessThan">
      <formula>$B$2</formula>
    </cfRule>
  </conditionalFormatting>
  <conditionalFormatting sqref="C19">
    <cfRule type="expression" dxfId="227" priority="69">
      <formula>AND($C19-TODAY()&lt;30,TODAY()&lt;$C19)</formula>
    </cfRule>
  </conditionalFormatting>
  <conditionalFormatting sqref="C19">
    <cfRule type="cellIs" dxfId="226" priority="70" stopIfTrue="1" operator="lessThan">
      <formula>$B$2</formula>
    </cfRule>
  </conditionalFormatting>
  <conditionalFormatting sqref="C21">
    <cfRule type="expression" dxfId="225" priority="67">
      <formula>AND($C21-TODAY()&lt;30,TODAY()&lt;$C21)</formula>
    </cfRule>
  </conditionalFormatting>
  <conditionalFormatting sqref="C21">
    <cfRule type="cellIs" dxfId="224" priority="68" stopIfTrue="1" operator="lessThan">
      <formula>$B$2</formula>
    </cfRule>
  </conditionalFormatting>
  <conditionalFormatting sqref="C23">
    <cfRule type="expression" dxfId="223" priority="65">
      <formula>AND($C23-TODAY()&lt;30,TODAY()&lt;$C23)</formula>
    </cfRule>
  </conditionalFormatting>
  <conditionalFormatting sqref="C23">
    <cfRule type="cellIs" dxfId="222" priority="66" stopIfTrue="1" operator="lessThan">
      <formula>$B$2</formula>
    </cfRule>
  </conditionalFormatting>
  <conditionalFormatting sqref="F18">
    <cfRule type="cellIs" dxfId="221" priority="62" stopIfTrue="1" operator="lessThan">
      <formula>$B$2</formula>
    </cfRule>
  </conditionalFormatting>
  <conditionalFormatting sqref="F22">
    <cfRule type="cellIs" dxfId="220" priority="61" stopIfTrue="1" operator="lessThan">
      <formula>$B$2</formula>
    </cfRule>
  </conditionalFormatting>
  <conditionalFormatting sqref="F21">
    <cfRule type="cellIs" dxfId="219" priority="60" stopIfTrue="1" operator="lessThan">
      <formula>$B$2</formula>
    </cfRule>
  </conditionalFormatting>
  <conditionalFormatting sqref="B4:B11 E4:E11 B17 E18:E23 B13 E13 B19:B23">
    <cfRule type="cellIs" dxfId="218" priority="58" stopIfTrue="1" operator="equal">
      <formula>"已过期"</formula>
    </cfRule>
  </conditionalFormatting>
  <conditionalFormatting sqref="A24:F24">
    <cfRule type="cellIs" dxfId="217" priority="54" stopIfTrue="1" operator="equal">
      <formula>"已过期"</formula>
    </cfRule>
  </conditionalFormatting>
  <conditionalFormatting sqref="F28">
    <cfRule type="expression" dxfId="216" priority="52">
      <formula>AND($E28-TODAY()&lt;30,TODAY()&lt;$E28)</formula>
    </cfRule>
  </conditionalFormatting>
  <conditionalFormatting sqref="F28">
    <cfRule type="cellIs" dxfId="215" priority="53" stopIfTrue="1" operator="lessThan">
      <formula>$B$2</formula>
    </cfRule>
  </conditionalFormatting>
  <conditionalFormatting sqref="F29">
    <cfRule type="expression" dxfId="214" priority="48" stopIfTrue="1">
      <formula>AND($E29-TODAY()&lt;30,TODAY()&lt;$E29)</formula>
    </cfRule>
  </conditionalFormatting>
  <conditionalFormatting sqref="F29">
    <cfRule type="cellIs" dxfId="213" priority="49" stopIfTrue="1" operator="lessThan">
      <formula>$B$2</formula>
    </cfRule>
  </conditionalFormatting>
  <conditionalFormatting sqref="F13">
    <cfRule type="cellIs" dxfId="212" priority="41" stopIfTrue="1" operator="lessThan">
      <formula>$B$2</formula>
    </cfRule>
  </conditionalFormatting>
  <conditionalFormatting sqref="C12">
    <cfRule type="expression" dxfId="211" priority="39">
      <formula>AND($C12-TODAY()&lt;30,TODAY()&lt;$C12)</formula>
    </cfRule>
  </conditionalFormatting>
  <conditionalFormatting sqref="C12">
    <cfRule type="cellIs" dxfId="210" priority="40" stopIfTrue="1" operator="lessThan">
      <formula>$B$2</formula>
    </cfRule>
  </conditionalFormatting>
  <conditionalFormatting sqref="C12">
    <cfRule type="expression" dxfId="209" priority="37">
      <formula>AND($C12-TODAY()&lt;30,TODAY()&lt;$C12)</formula>
    </cfRule>
  </conditionalFormatting>
  <conditionalFormatting sqref="C12">
    <cfRule type="cellIs" dxfId="208" priority="38" stopIfTrue="1" operator="lessThan">
      <formula>$B$2</formula>
    </cfRule>
  </conditionalFormatting>
  <conditionalFormatting sqref="B12">
    <cfRule type="cellIs" dxfId="207" priority="36" stopIfTrue="1" operator="equal">
      <formula>"已过期"</formula>
    </cfRule>
  </conditionalFormatting>
  <conditionalFormatting sqref="E12">
    <cfRule type="cellIs" dxfId="206" priority="35" stopIfTrue="1" operator="equal">
      <formula>"已过期"</formula>
    </cfRule>
  </conditionalFormatting>
  <conditionalFormatting sqref="F12">
    <cfRule type="cellIs" dxfId="205" priority="34" stopIfTrue="1" operator="lessThan">
      <formula>$B$2</formula>
    </cfRule>
  </conditionalFormatting>
  <conditionalFormatting sqref="C22">
    <cfRule type="expression" dxfId="204" priority="32">
      <formula>AND($C22-TODAY()&lt;30,TODAY()&lt;$C22)</formula>
    </cfRule>
  </conditionalFormatting>
  <conditionalFormatting sqref="C22">
    <cfRule type="cellIs" dxfId="203" priority="33" stopIfTrue="1" operator="lessThan">
      <formula>$B$2</formula>
    </cfRule>
  </conditionalFormatting>
  <conditionalFormatting sqref="C22">
    <cfRule type="expression" dxfId="202" priority="30">
      <formula>AND($C22-TODAY()&lt;30,TODAY()&lt;$C22)</formula>
    </cfRule>
  </conditionalFormatting>
  <conditionalFormatting sqref="C22">
    <cfRule type="cellIs" dxfId="201" priority="31" stopIfTrue="1" operator="lessThan">
      <formula>$B$2</formula>
    </cfRule>
  </conditionalFormatting>
  <conditionalFormatting sqref="C16">
    <cfRule type="expression" dxfId="200" priority="28">
      <formula>AND($C16-TODAY()&lt;30,TODAY()&lt;$C16)</formula>
    </cfRule>
  </conditionalFormatting>
  <conditionalFormatting sqref="C16">
    <cfRule type="cellIs" dxfId="199" priority="29" stopIfTrue="1" operator="lessThan">
      <formula>$B$2</formula>
    </cfRule>
  </conditionalFormatting>
  <conditionalFormatting sqref="C16">
    <cfRule type="expression" dxfId="198" priority="26">
      <formula>AND($C16-TODAY()&lt;30,TODAY()&lt;$C16)</formula>
    </cfRule>
  </conditionalFormatting>
  <conditionalFormatting sqref="C16">
    <cfRule type="cellIs" dxfId="197" priority="27" stopIfTrue="1" operator="lessThan">
      <formula>$B$2</formula>
    </cfRule>
  </conditionalFormatting>
  <conditionalFormatting sqref="B16">
    <cfRule type="cellIs" dxfId="196" priority="25" stopIfTrue="1" operator="equal">
      <formula>"已过期"</formula>
    </cfRule>
  </conditionalFormatting>
  <conditionalFormatting sqref="C14:C15">
    <cfRule type="expression" dxfId="195" priority="23">
      <formula>AND($C14-TODAY()&lt;30,TODAY()&lt;$C14)</formula>
    </cfRule>
  </conditionalFormatting>
  <conditionalFormatting sqref="C14:C15">
    <cfRule type="cellIs" dxfId="194" priority="24" stopIfTrue="1" operator="lessThan">
      <formula>$B$2</formula>
    </cfRule>
  </conditionalFormatting>
  <conditionalFormatting sqref="C14">
    <cfRule type="expression" dxfId="193" priority="21">
      <formula>AND($C14-TODAY()&lt;30,TODAY()&lt;$C14)</formula>
    </cfRule>
  </conditionalFormatting>
  <conditionalFormatting sqref="C14">
    <cfRule type="cellIs" dxfId="192" priority="22" stopIfTrue="1" operator="lessThan">
      <formula>$B$2</formula>
    </cfRule>
  </conditionalFormatting>
  <conditionalFormatting sqref="C15">
    <cfRule type="expression" dxfId="191" priority="19">
      <formula>AND($C15-TODAY()&lt;30,TODAY()&lt;$C15)</formula>
    </cfRule>
  </conditionalFormatting>
  <conditionalFormatting sqref="C15">
    <cfRule type="cellIs" dxfId="190" priority="20" stopIfTrue="1" operator="lessThan">
      <formula>$B$2</formula>
    </cfRule>
  </conditionalFormatting>
  <conditionalFormatting sqref="B14">
    <cfRule type="cellIs" dxfId="189" priority="18" stopIfTrue="1" operator="equal">
      <formula>"已过期"</formula>
    </cfRule>
  </conditionalFormatting>
  <conditionalFormatting sqref="B15">
    <cfRule type="cellIs" dxfId="188" priority="17" stopIfTrue="1" operator="equal">
      <formula>"已过期"</formula>
    </cfRule>
  </conditionalFormatting>
  <conditionalFormatting sqref="A15">
    <cfRule type="cellIs" dxfId="187" priority="16" stopIfTrue="1" operator="equal">
      <formula>"已过期"</formula>
    </cfRule>
  </conditionalFormatting>
  <conditionalFormatting sqref="C15">
    <cfRule type="expression" dxfId="186" priority="15">
      <formula>AND($C15-TODAY()&lt;30,TODAY()&lt;$C15)</formula>
    </cfRule>
  </conditionalFormatting>
  <conditionalFormatting sqref="F16">
    <cfRule type="cellIs" dxfId="185" priority="14" stopIfTrue="1" operator="lessThan">
      <formula>$B$2</formula>
    </cfRule>
  </conditionalFormatting>
  <conditionalFormatting sqref="E16 E14">
    <cfRule type="cellIs" dxfId="184" priority="13" stopIfTrue="1" operator="equal">
      <formula>"已过期"</formula>
    </cfRule>
  </conditionalFormatting>
  <conditionalFormatting sqref="E15">
    <cfRule type="cellIs" dxfId="183" priority="12" stopIfTrue="1" operator="equal">
      <formula>"已过期"</formula>
    </cfRule>
  </conditionalFormatting>
  <conditionalFormatting sqref="D15">
    <cfRule type="cellIs" dxfId="182" priority="11" stopIfTrue="1" operator="equal">
      <formula>"已过期"</formula>
    </cfRule>
  </conditionalFormatting>
  <conditionalFormatting sqref="F17">
    <cfRule type="cellIs" dxfId="181" priority="10" stopIfTrue="1" operator="lessThan">
      <formula>$B$2</formula>
    </cfRule>
  </conditionalFormatting>
  <conditionalFormatting sqref="E17">
    <cfRule type="cellIs" dxfId="180" priority="9" stopIfTrue="1" operator="equal">
      <formula>"已过期"</formula>
    </cfRule>
  </conditionalFormatting>
  <conditionalFormatting sqref="F14">
    <cfRule type="cellIs" dxfId="179" priority="8" stopIfTrue="1" operator="lessThan">
      <formula>$B$2</formula>
    </cfRule>
  </conditionalFormatting>
  <conditionalFormatting sqref="C18">
    <cfRule type="expression" dxfId="178" priority="6">
      <formula>AND($C18-TODAY()&lt;30,TODAY()&lt;$C18)</formula>
    </cfRule>
  </conditionalFormatting>
  <conditionalFormatting sqref="C18">
    <cfRule type="cellIs" dxfId="177" priority="7" stopIfTrue="1" operator="lessThan">
      <formula>$B$2</formula>
    </cfRule>
  </conditionalFormatting>
  <conditionalFormatting sqref="C18">
    <cfRule type="expression" dxfId="176" priority="4">
      <formula>AND($C18-TODAY()&lt;30,TODAY()&lt;$C18)</formula>
    </cfRule>
  </conditionalFormatting>
  <conditionalFormatting sqref="C18">
    <cfRule type="cellIs" dxfId="175" priority="5" stopIfTrue="1" operator="lessThan">
      <formula>$B$2</formula>
    </cfRule>
  </conditionalFormatting>
  <conditionalFormatting sqref="B18">
    <cfRule type="cellIs" dxfId="174" priority="3" stopIfTrue="1" operator="equal">
      <formula>"已过期"</formula>
    </cfRule>
  </conditionalFormatting>
  <conditionalFormatting sqref="C28">
    <cfRule type="expression" dxfId="173" priority="1">
      <formula>AND($C28-TODAY()&lt;30,TODAY()&lt;$C28)</formula>
    </cfRule>
  </conditionalFormatting>
  <conditionalFormatting sqref="C28">
    <cfRule type="cellIs" dxfId="17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收益法</vt:lpstr>
      <vt:lpstr>比较法-租金 </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 '!商业层高</vt:lpstr>
      <vt:lpstr>商业层高</vt:lpstr>
      <vt:lpstr>'比较法-租金 '!商业成新度</vt:lpstr>
      <vt:lpstr>商业成新度</vt:lpstr>
      <vt:lpstr>商业繁华度</vt:lpstr>
      <vt:lpstr>'比较法-租金 '!商业公共部分装修</vt:lpstr>
      <vt:lpstr>商业公共部分装修</vt:lpstr>
      <vt:lpstr>'比较法-租金 '!商业基础设施水平</vt:lpstr>
      <vt:lpstr>商业基础设施水平</vt:lpstr>
      <vt:lpstr>'比较法-租金 '!商业建筑结构</vt:lpstr>
      <vt:lpstr>商业建筑结构</vt:lpstr>
      <vt:lpstr>'比较法-租金 '!商业交易情况</vt:lpstr>
      <vt:lpstr>商业交易情况</vt:lpstr>
      <vt:lpstr>商业街名称</vt:lpstr>
      <vt:lpstr>'比较法-租金 '!商业进深比</vt:lpstr>
      <vt:lpstr>商业进深比</vt:lpstr>
      <vt:lpstr>'比较法-租金 '!商业类型</vt:lpstr>
      <vt:lpstr>商业类型</vt:lpstr>
      <vt:lpstr>'比较法-租金 '!商业临街状况</vt:lpstr>
      <vt:lpstr>商业临街状况</vt:lpstr>
      <vt:lpstr>'比较法-租金 '!商业楼层</vt:lpstr>
      <vt:lpstr>商业楼层</vt:lpstr>
      <vt:lpstr>'比较法-租金 '!商业内部装修</vt:lpstr>
      <vt:lpstr>商业内部装修</vt:lpstr>
      <vt:lpstr>'比较法-租金 '!商业人流量</vt:lpstr>
      <vt:lpstr>商业人流量</vt:lpstr>
      <vt:lpstr>'比较法-租金 '!商业业态</vt:lpstr>
      <vt:lpstr>商业业态</vt:lpstr>
      <vt:lpstr>'比较法-租金 '!商业用途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2020-02-29T11:55:49Z</dcterms:modified>
</cp:coreProperties>
</file>