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租金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商业" sheetId="83" state="hidden" r:id="rId35"/>
    <sheet name="典型户型修正" sheetId="31" state="hidden" r:id="rId36"/>
    <sheet name="基准地价（汇总）" sheetId="76" state="hidden" r:id="rId37"/>
    <sheet name="修正" sheetId="45"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商业" sheetId="81" r:id="rId47"/>
    <sheet name="住宅" sheetId="82" r:id="rId48"/>
    <sheet name="Sheet1" sheetId="80" r:id="rId49"/>
    <sheet name="办公" sheetId="84"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4" hidden="1">'比较法-商业'!$A$1:$L$49</definedName>
    <definedName name="_xlnm._FilterDatabase" localSheetId="26" hidden="1">'比较法-住宅'!$A$1:$L$49</definedName>
    <definedName name="_xlnm._FilterDatabase" localSheetId="27" hidden="1">'比较法-租金商业'!$A$1:$L$49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4">'比较法-商业'!$A$1:$K$54,'比较法-商业'!$A$57:$M$131</definedName>
    <definedName name="_xlnm.Print_Area" localSheetId="26">'比较法-住宅'!$A$1:$K$54,'比较法-住宅'!$A$57:$M$131</definedName>
    <definedName name="_xlnm.Print_Area" localSheetId="27">'比较法-租金商业'!$A$1:$K$54,'比较法-租金商业'!$A$57:$M$131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'比较法-商业'!$B$116:$M$116</definedName>
    <definedName name="商业层高">'比较法-租金商业'!$B$116:$M$116</definedName>
    <definedName name="商业成新度" localSheetId="34">'比较法-商业'!$B$109:$M$109</definedName>
    <definedName name="商业成新度">'比较法-租金商业'!$B$109:$M$109</definedName>
    <definedName name="商业繁华度">定义!$L$1:$L$6</definedName>
    <definedName name="商业公共部分装修" localSheetId="34">'比较法-商业'!$B$107:$M$107</definedName>
    <definedName name="商业公共部分装修">'比较法-租金商业'!$B$107:$M$107</definedName>
    <definedName name="商业基础设施水平" localSheetId="34">'比较法-商业'!$B$112:$M$112</definedName>
    <definedName name="商业基础设施水平">'比较法-租金商业'!$B$112:$M$112</definedName>
    <definedName name="商业建筑结构" localSheetId="34">'比较法-商业'!$B$105:$M$105</definedName>
    <definedName name="商业建筑结构">'比较法-租金商业'!$B$105:$M$105</definedName>
    <definedName name="商业交易情况" localSheetId="34">'比较法-商业'!$A$61:$M$61</definedName>
    <definedName name="商业交易情况">'比较法-租金商业'!$A$61:$M$61</definedName>
    <definedName name="商业街名称">修正!$C$71:$C$138</definedName>
    <definedName name="商业进深比" localSheetId="34">'比较法-商业'!$B$120:$M$120</definedName>
    <definedName name="商业进深比">'比较法-租金商业'!$B$120:$M$120</definedName>
    <definedName name="商业类型" localSheetId="34">'比较法-商业'!$B$100:$M$100</definedName>
    <definedName name="商业类型">'比较法-租金商业'!$B$100:$M$100</definedName>
    <definedName name="商业临街状况" localSheetId="34">'比较法-商业'!$B$86:$M$86</definedName>
    <definedName name="商业临街状况">'比较法-租金商业'!$B$86:$M$86</definedName>
    <definedName name="商业楼层" localSheetId="34">'比较法-商业'!$B$92:$M$92</definedName>
    <definedName name="商业楼层">'比较法-租金商业'!$B$92:$M$92</definedName>
    <definedName name="商业内部装修" localSheetId="34">'比较法-商业'!$B$122:$M$122</definedName>
    <definedName name="商业内部装修">'比较法-租金商业'!$B$122:$M$122</definedName>
    <definedName name="商业人流量" localSheetId="34">'比较法-商业'!$B$90:$M$90</definedName>
    <definedName name="商业人流量">'比较法-租金商业'!$B$90:$M$90</definedName>
    <definedName name="商业业态" localSheetId="34">'比较法-商业'!$B$114:$M$114</definedName>
    <definedName name="商业业态">'比较法-租金商业'!$B$114:$M$114</definedName>
    <definedName name="商业用途" localSheetId="34">'比较法-商业'!$B$63:$M$63</definedName>
    <definedName name="商业用途">'比较法-租金商业'!$B$63:$M$63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93" i="83" l="1"/>
  <c r="B130" i="83"/>
  <c r="B128" i="83"/>
  <c r="B126" i="83"/>
  <c r="G125" i="83"/>
  <c r="D125" i="83"/>
  <c r="E125" i="83" s="1"/>
  <c r="F125" i="83" s="1"/>
  <c r="E123" i="83"/>
  <c r="F123" i="83" s="1"/>
  <c r="G123" i="83" s="1"/>
  <c r="H123" i="83" s="1"/>
  <c r="I123" i="83" s="1"/>
  <c r="J123" i="83" s="1"/>
  <c r="K123" i="83" s="1"/>
  <c r="L123" i="83" s="1"/>
  <c r="M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F106" i="83"/>
  <c r="G106" i="83" s="1"/>
  <c r="H106" i="83" s="1"/>
  <c r="I106" i="83" s="1"/>
  <c r="J106" i="83" s="1"/>
  <c r="K106" i="83" s="1"/>
  <c r="L106" i="83" s="1"/>
  <c r="M106" i="83" s="1"/>
  <c r="E106" i="83"/>
  <c r="D106"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H31" i="83" s="1"/>
  <c r="B96" i="83"/>
  <c r="B94" i="83"/>
  <c r="G93" i="83"/>
  <c r="F93" i="83"/>
  <c r="E93" i="83"/>
  <c r="D93" i="83"/>
  <c r="H93" i="83" s="1"/>
  <c r="B92" i="83"/>
  <c r="J91" i="83"/>
  <c r="K91" i="83" s="1"/>
  <c r="L91" i="83" s="1"/>
  <c r="M91" i="83" s="1"/>
  <c r="F91" i="83"/>
  <c r="G91" i="83" s="1"/>
  <c r="H91" i="83" s="1"/>
  <c r="I91" i="83" s="1"/>
  <c r="E91" i="83"/>
  <c r="D91" i="83"/>
  <c r="B90" i="83"/>
  <c r="D89" i="83"/>
  <c r="E89" i="83" s="1"/>
  <c r="F89" i="83" s="1"/>
  <c r="G89" i="83" s="1"/>
  <c r="B88" i="83"/>
  <c r="F87" i="83"/>
  <c r="G87" i="83" s="1"/>
  <c r="H87" i="83" s="1"/>
  <c r="I87" i="83" s="1"/>
  <c r="J87" i="83" s="1"/>
  <c r="K87" i="83" s="1"/>
  <c r="L87" i="83" s="1"/>
  <c r="M87" i="83" s="1"/>
  <c r="E87" i="83"/>
  <c r="D87" i="83"/>
  <c r="E85" i="83"/>
  <c r="F85" i="83" s="1"/>
  <c r="G85" i="83" s="1"/>
  <c r="D85" i="83"/>
  <c r="D83" i="83"/>
  <c r="E83" i="83" s="1"/>
  <c r="F83" i="83" s="1"/>
  <c r="G83" i="83" s="1"/>
  <c r="F81" i="83"/>
  <c r="G81" i="83" s="1"/>
  <c r="E81" i="83"/>
  <c r="D81" i="83"/>
  <c r="F79" i="83"/>
  <c r="G79" i="83" s="1"/>
  <c r="E79" i="83"/>
  <c r="D79" i="83"/>
  <c r="E77" i="83"/>
  <c r="F77" i="83" s="1"/>
  <c r="G77" i="83" s="1"/>
  <c r="D77" i="83"/>
  <c r="B74" i="83"/>
  <c r="B72" i="83"/>
  <c r="J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U46" i="83" s="1"/>
  <c r="F46" i="83"/>
  <c r="AA46" i="83" s="1"/>
  <c r="Q45" i="83"/>
  <c r="Z45" i="83" s="1"/>
  <c r="J45" i="83"/>
  <c r="AC45" i="83" s="1"/>
  <c r="H45" i="83"/>
  <c r="AB45" i="83" s="1"/>
  <c r="F45" i="83"/>
  <c r="AA45" i="83" s="1"/>
  <c r="Z44" i="83"/>
  <c r="Q44" i="83"/>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W39" i="83" s="1"/>
  <c r="H39" i="83"/>
  <c r="AB39" i="83" s="1"/>
  <c r="F39" i="83"/>
  <c r="AA39" i="83" s="1"/>
  <c r="U38" i="83"/>
  <c r="Q38" i="83"/>
  <c r="Z38" i="83" s="1"/>
  <c r="J38" i="83"/>
  <c r="AC38" i="83" s="1"/>
  <c r="H38" i="83"/>
  <c r="AB38" i="83" s="1"/>
  <c r="F38" i="83"/>
  <c r="AA38" i="83" s="1"/>
  <c r="Q37" i="83"/>
  <c r="Z37" i="83" s="1"/>
  <c r="J37" i="83"/>
  <c r="AC37" i="83" s="1"/>
  <c r="H37" i="83"/>
  <c r="AB37" i="83" s="1"/>
  <c r="F37" i="83"/>
  <c r="S37" i="83" s="1"/>
  <c r="Q36" i="83"/>
  <c r="Z36" i="83" s="1"/>
  <c r="Q35" i="83"/>
  <c r="Z35" i="83" s="1"/>
  <c r="J35" i="83"/>
  <c r="AC35" i="83" s="1"/>
  <c r="H35" i="83"/>
  <c r="AB35" i="83" s="1"/>
  <c r="F35" i="83"/>
  <c r="AA35" i="83" s="1"/>
  <c r="W34" i="83"/>
  <c r="Q34" i="83"/>
  <c r="Z34" i="83" s="1"/>
  <c r="J34" i="83"/>
  <c r="AC34" i="83" s="1"/>
  <c r="H34" i="83"/>
  <c r="AB34" i="83" s="1"/>
  <c r="F34" i="83"/>
  <c r="AA34" i="83" s="1"/>
  <c r="Q33" i="83"/>
  <c r="Z33" i="83" s="1"/>
  <c r="C33" i="83"/>
  <c r="H33" i="83" s="1"/>
  <c r="U33" i="83" s="1"/>
  <c r="Z32" i="83"/>
  <c r="Q32" i="83"/>
  <c r="J32" i="83"/>
  <c r="AC32" i="83" s="1"/>
  <c r="H32" i="83"/>
  <c r="AB32" i="83" s="1"/>
  <c r="F32" i="83"/>
  <c r="AA32" i="83" s="1"/>
  <c r="Q31" i="83"/>
  <c r="Z31" i="83" s="1"/>
  <c r="F31" i="83"/>
  <c r="AA31" i="83" s="1"/>
  <c r="AB30" i="83"/>
  <c r="Q30" i="83"/>
  <c r="Z30" i="83" s="1"/>
  <c r="J30" i="83"/>
  <c r="AC30" i="83" s="1"/>
  <c r="H30" i="83"/>
  <c r="U30" i="83" s="1"/>
  <c r="F30" i="83"/>
  <c r="AA30" i="83" s="1"/>
  <c r="Q29" i="83"/>
  <c r="Z29" i="83" s="1"/>
  <c r="J29" i="83"/>
  <c r="W29" i="83" s="1"/>
  <c r="H29" i="83"/>
  <c r="AB29" i="83" s="1"/>
  <c r="F29" i="83"/>
  <c r="S29" i="83" s="1"/>
  <c r="Q28" i="83"/>
  <c r="Z28" i="83" s="1"/>
  <c r="H28" i="83"/>
  <c r="U28" i="83" s="1"/>
  <c r="Q27" i="83"/>
  <c r="Z27" i="83" s="1"/>
  <c r="J27" i="83"/>
  <c r="W27" i="83" s="1"/>
  <c r="H27" i="83"/>
  <c r="AB27" i="83" s="1"/>
  <c r="F27" i="83"/>
  <c r="AA27" i="83" s="1"/>
  <c r="Q26" i="83"/>
  <c r="Z26" i="83" s="1"/>
  <c r="H26" i="83"/>
  <c r="U26" i="83" s="1"/>
  <c r="Q25" i="83"/>
  <c r="Z25" i="83" s="1"/>
  <c r="J25" i="83"/>
  <c r="AC25" i="83" s="1"/>
  <c r="H25" i="83"/>
  <c r="AB25" i="83" s="1"/>
  <c r="F25" i="83"/>
  <c r="AA25" i="83" s="1"/>
  <c r="Q23" i="83"/>
  <c r="Z23" i="83" s="1"/>
  <c r="J23" i="83"/>
  <c r="H23" i="83"/>
  <c r="AB23" i="83" s="1"/>
  <c r="F23" i="83"/>
  <c r="S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P72" i="81"/>
  <c r="C33" i="33"/>
  <c r="E18" i="31"/>
  <c r="C18" i="31"/>
  <c r="D17" i="31"/>
  <c r="E17" i="31"/>
  <c r="F17" i="31"/>
  <c r="G17" i="31"/>
  <c r="H17" i="31"/>
  <c r="C17" i="31"/>
  <c r="G93" i="33"/>
  <c r="G18" i="31" s="1"/>
  <c r="F93" i="33"/>
  <c r="F18" i="31" s="1"/>
  <c r="E93" i="33"/>
  <c r="D93" i="33"/>
  <c r="D18" i="31" s="1"/>
  <c r="D4" i="31"/>
  <c r="E4" i="31"/>
  <c r="F4" i="31"/>
  <c r="G4" i="31"/>
  <c r="C4" i="31"/>
  <c r="D3" i="31"/>
  <c r="E3" i="31"/>
  <c r="F3" i="31"/>
  <c r="G3" i="31"/>
  <c r="C3" i="31"/>
  <c r="B25" i="31"/>
  <c r="B26" i="31"/>
  <c r="B27" i="31"/>
  <c r="B28" i="31"/>
  <c r="B24" i="31"/>
  <c r="E89" i="33"/>
  <c r="F89" i="33"/>
  <c r="G89" i="33"/>
  <c r="D89" i="33"/>
  <c r="D2" i="83"/>
  <c r="H93" i="33" l="1"/>
  <c r="H18" i="31" s="1"/>
  <c r="AC39" i="83"/>
  <c r="W8" i="83"/>
  <c r="W25" i="83"/>
  <c r="AC27" i="83"/>
  <c r="AA29" i="83"/>
  <c r="S31" i="83"/>
  <c r="U42" i="83"/>
  <c r="U32" i="83"/>
  <c r="AA37" i="83"/>
  <c r="AC13" i="83"/>
  <c r="W13" i="83"/>
  <c r="AB46" i="83"/>
  <c r="AB31" i="83"/>
  <c r="U31" i="83"/>
  <c r="U10" i="83"/>
  <c r="W11" i="83"/>
  <c r="S13" i="83"/>
  <c r="U14" i="83"/>
  <c r="U19" i="83"/>
  <c r="S25" i="83"/>
  <c r="AA8" i="83"/>
  <c r="U9" i="83"/>
  <c r="W10" i="83"/>
  <c r="S12" i="83"/>
  <c r="U13" i="83"/>
  <c r="W14" i="83"/>
  <c r="W17" i="83"/>
  <c r="W21" i="83"/>
  <c r="S27" i="83"/>
  <c r="S45" i="83"/>
  <c r="J26" i="83"/>
  <c r="F26" i="83"/>
  <c r="F28" i="83"/>
  <c r="J28" i="83"/>
  <c r="U15" i="83"/>
  <c r="U21" i="83"/>
  <c r="AB26" i="83"/>
  <c r="AB33" i="83"/>
  <c r="W15" i="83"/>
  <c r="W19" i="83"/>
  <c r="AC23" i="83"/>
  <c r="W23" i="83"/>
  <c r="AB28" i="83"/>
  <c r="AC29" i="83"/>
  <c r="AB8" i="83"/>
  <c r="W9" i="83"/>
  <c r="S11" i="83"/>
  <c r="U12" i="83"/>
  <c r="AA23" i="83"/>
  <c r="J31" i="83"/>
  <c r="S41" i="83"/>
  <c r="W43" i="83"/>
  <c r="S9" i="83"/>
  <c r="U17" i="83"/>
  <c r="U23" i="83"/>
  <c r="S10" i="83"/>
  <c r="U11" i="83"/>
  <c r="W12" i="83"/>
  <c r="S14" i="83"/>
  <c r="S15" i="83"/>
  <c r="S17" i="83"/>
  <c r="S19" i="83"/>
  <c r="S21" i="83"/>
  <c r="F33" i="83"/>
  <c r="J33" i="83"/>
  <c r="U27" i="83"/>
  <c r="S30" i="83"/>
  <c r="W32" i="83"/>
  <c r="S35" i="83"/>
  <c r="U37" i="83"/>
  <c r="W38" i="83"/>
  <c r="S40" i="83"/>
  <c r="U41" i="83"/>
  <c r="W42" i="83"/>
  <c r="S44" i="83"/>
  <c r="U45" i="83"/>
  <c r="W46" i="83"/>
  <c r="S34" i="83"/>
  <c r="U35" i="83"/>
  <c r="W37" i="83"/>
  <c r="S39" i="83"/>
  <c r="U40" i="83"/>
  <c r="W41" i="83"/>
  <c r="S43" i="83"/>
  <c r="U44" i="83"/>
  <c r="W45" i="83"/>
  <c r="U25" i="83"/>
  <c r="U29" i="83"/>
  <c r="W30" i="83"/>
  <c r="S32" i="83"/>
  <c r="U34" i="83"/>
  <c r="W35" i="83"/>
  <c r="S38" i="83"/>
  <c r="U39" i="83"/>
  <c r="W40" i="83"/>
  <c r="S42" i="83"/>
  <c r="U43" i="83"/>
  <c r="W44" i="83"/>
  <c r="S46" i="83"/>
  <c r="AC31" i="83" l="1"/>
  <c r="W31" i="83"/>
  <c r="AC33" i="83"/>
  <c r="W33" i="83"/>
  <c r="AA28" i="83"/>
  <c r="S28" i="83"/>
  <c r="AA33" i="83"/>
  <c r="S33" i="83"/>
  <c r="AA26" i="83"/>
  <c r="S26" i="83"/>
  <c r="AC26" i="83"/>
  <c r="W26" i="83"/>
  <c r="AC28" i="83"/>
  <c r="W28" i="83"/>
  <c r="T23" i="1" l="1"/>
  <c r="T24" i="1"/>
  <c r="T25" i="1"/>
  <c r="T26" i="1"/>
  <c r="T22" i="1"/>
  <c r="T27" i="1" s="1"/>
  <c r="U3" i="43" l="1"/>
  <c r="U4" i="43"/>
  <c r="U5" i="43"/>
  <c r="U6" i="43"/>
  <c r="U2" i="43"/>
  <c r="J52" i="15"/>
  <c r="J49" i="15"/>
  <c r="J52" i="67"/>
  <c r="J49" i="67"/>
  <c r="Q17" i="1"/>
  <c r="N6" i="1"/>
  <c r="C36" i="33" l="1"/>
  <c r="C36" i="83"/>
  <c r="Y6" i="1"/>
  <c r="D3" i="4"/>
  <c r="F36" i="83" l="1"/>
  <c r="H36" i="83"/>
  <c r="J36" i="83"/>
  <c r="G14" i="73"/>
  <c r="F14" i="73"/>
  <c r="E14" i="73"/>
  <c r="G15" i="73"/>
  <c r="F15" i="73"/>
  <c r="E15" i="73"/>
  <c r="AC36" i="83" l="1"/>
  <c r="W36" i="83"/>
  <c r="AB36" i="83"/>
  <c r="U36" i="83"/>
  <c r="AA36" i="83"/>
  <c r="S36" i="83"/>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7" i="79" l="1"/>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3" i="71" s="1"/>
  <c r="O33" i="71"/>
  <c r="N33" i="71"/>
  <c r="B34" i="71" s="1"/>
  <c r="B35" i="71" s="1"/>
  <c r="B36" i="71" s="1"/>
  <c r="S36" i="71" s="1"/>
  <c r="D33" i="71"/>
  <c r="Q32" i="71"/>
  <c r="AB32"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N28" i="71"/>
  <c r="X26" i="71" s="1"/>
  <c r="B30" i="71"/>
  <c r="B31" i="71"/>
  <c r="E30" i="71"/>
  <c r="E31" i="71"/>
  <c r="E32" i="71" s="1"/>
  <c r="U32" i="71" s="1"/>
  <c r="E38" i="71"/>
  <c r="E39" i="71"/>
  <c r="E40" i="71"/>
  <c r="U40" i="71" s="1"/>
  <c r="AA37" i="71"/>
  <c r="N68" i="71"/>
  <c r="C30" i="71"/>
  <c r="D30" i="71" s="1"/>
  <c r="C34" i="71"/>
  <c r="D34" i="71" s="1"/>
  <c r="X35" i="71"/>
  <c r="C38" i="71"/>
  <c r="D38" i="71" s="1"/>
  <c r="Y37" i="71"/>
  <c r="Z37" i="71" s="1"/>
  <c r="X38" i="71"/>
  <c r="AA38" i="71"/>
  <c r="F51" i="71"/>
  <c r="F52" i="71" s="1"/>
  <c r="V52" i="71" s="1"/>
  <c r="C28" i="71"/>
  <c r="C27" i="71" s="1"/>
  <c r="Y28" i="71"/>
  <c r="Z28" i="71" s="1"/>
  <c r="X25" i="71"/>
  <c r="C39" i="71"/>
  <c r="D39"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C74" i="71" s="1"/>
  <c r="D74"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AA21" i="33" s="1"/>
  <c r="E83" i="21"/>
  <c r="F83" i="21" s="1"/>
  <c r="H1" i="69"/>
  <c r="AC25" i="40"/>
  <c r="W25" i="40"/>
  <c r="U29" i="39"/>
  <c r="W29" i="39"/>
  <c r="W18" i="36"/>
  <c r="U21" i="37"/>
  <c r="U21" i="34"/>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3" i="43"/>
  <c r="D52"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3"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R279" i="31"/>
  <c r="S279" i="31" s="1"/>
  <c r="R280" i="31"/>
  <c r="S280" i="31" s="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S498" i="31" s="1"/>
  <c r="R499" i="31"/>
  <c r="S499" i="31" s="1"/>
  <c r="R500" i="31"/>
  <c r="R501" i="31"/>
  <c r="S501" i="31" s="1"/>
  <c r="R502" i="31"/>
  <c r="S502" i="31" s="1"/>
  <c r="R503" i="31"/>
  <c r="S503" i="31" s="1"/>
  <c r="R504" i="31"/>
  <c r="R505" i="3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78" i="31"/>
  <c r="S276" i="31"/>
  <c r="S268" i="31"/>
  <c r="S260" i="31"/>
  <c r="S258" i="31"/>
  <c r="S253" i="31"/>
  <c r="S249" i="31"/>
  <c r="S245" i="31"/>
  <c r="S241" i="31"/>
  <c r="S239" i="31"/>
  <c r="S237" i="31"/>
  <c r="S233" i="31"/>
  <c r="S229" i="31"/>
  <c r="S225" i="31"/>
  <c r="S428" i="31"/>
  <c r="S221" i="31"/>
  <c r="S217" i="31"/>
  <c r="S213" i="31"/>
  <c r="S209" i="31"/>
  <c r="S205" i="31"/>
  <c r="S201" i="31"/>
  <c r="S197" i="31"/>
  <c r="S193" i="31"/>
  <c r="S189" i="31"/>
  <c r="S185" i="31"/>
  <c r="S181" i="31"/>
  <c r="S179" i="31"/>
  <c r="S177" i="31"/>
  <c r="S173" i="31"/>
  <c r="S169" i="31"/>
  <c r="S165" i="31"/>
  <c r="S161" i="31"/>
  <c r="S158" i="31"/>
  <c r="S157" i="31"/>
  <c r="S153" i="31"/>
  <c r="S149" i="31"/>
  <c r="S145" i="31"/>
  <c r="S141" i="31"/>
  <c r="S137" i="31"/>
  <c r="S133" i="31"/>
  <c r="S129" i="31"/>
  <c r="S126" i="31"/>
  <c r="S125" i="31"/>
  <c r="S497" i="31"/>
  <c r="S496" i="31"/>
  <c r="S493" i="31"/>
  <c r="S492" i="31"/>
  <c r="S489" i="31"/>
  <c r="S488" i="31"/>
  <c r="S485" i="31"/>
  <c r="S484" i="31"/>
  <c r="S481" i="31"/>
  <c r="S480" i="31"/>
  <c r="S477" i="31"/>
  <c r="S476" i="31"/>
  <c r="S473" i="31"/>
  <c r="S472" i="31"/>
  <c r="S469" i="31"/>
  <c r="S468" i="31"/>
  <c r="S444" i="31"/>
  <c r="S440" i="31"/>
  <c r="S436" i="31"/>
  <c r="S432" i="31"/>
  <c r="S121" i="31"/>
  <c r="S117" i="31"/>
  <c r="S113" i="31"/>
  <c r="S504" i="31"/>
  <c r="S500" i="31"/>
  <c r="S464" i="31"/>
  <c r="S460" i="31"/>
  <c r="S456" i="31"/>
  <c r="S452" i="31"/>
  <c r="S53" i="31"/>
  <c r="S49" i="31"/>
  <c r="S45" i="31"/>
  <c r="S41" i="31"/>
  <c r="S37" i="31"/>
  <c r="S33" i="31"/>
  <c r="S77" i="31"/>
  <c r="S73" i="31"/>
  <c r="S69" i="31"/>
  <c r="S65" i="31"/>
  <c r="S61" i="31"/>
  <c r="S57" i="31"/>
  <c r="S97" i="31"/>
  <c r="S93" i="31"/>
  <c r="S89" i="31"/>
  <c r="S85" i="31"/>
  <c r="S81" i="31"/>
  <c r="S29" i="31"/>
  <c r="S98" i="31"/>
  <c r="S101" i="31"/>
  <c r="S105" i="31"/>
  <c r="S109" i="31"/>
  <c r="S448" i="31"/>
  <c r="S508"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6" i="31"/>
  <c r="S520"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s="1"/>
  <c r="F38" i="33"/>
  <c r="AA38" i="33" s="1"/>
  <c r="Q37" i="33"/>
  <c r="Z37" i="33" s="1"/>
  <c r="Q36" i="33"/>
  <c r="Z36" i="33"/>
  <c r="Q35" i="33"/>
  <c r="Z35" i="33" s="1"/>
  <c r="H35" i="33"/>
  <c r="AB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s="1"/>
  <c r="U33" i="33"/>
  <c r="S40" i="33"/>
  <c r="H39" i="37"/>
  <c r="AB39" i="37" s="1"/>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E113" i="33"/>
  <c r="F32" i="33"/>
  <c r="S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AB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W31" i="34"/>
  <c r="S11" i="36"/>
  <c r="AB46"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U26" i="37"/>
  <c r="W47" i="34"/>
  <c r="AC36" i="34"/>
  <c r="AA13" i="33"/>
  <c r="AC31" i="33"/>
  <c r="AC45"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6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AZ269" i="3"/>
  <c r="BA379" i="3"/>
  <c r="AZ379" i="3" s="1"/>
  <c r="BL380" i="3"/>
  <c r="G381" i="3"/>
  <c r="BA383" i="3"/>
  <c r="AZ383" i="3" s="1"/>
  <c r="BL384" i="3"/>
  <c r="G385" i="3"/>
  <c r="BA387" i="3"/>
  <c r="BL388" i="3"/>
  <c r="G389" i="3"/>
  <c r="BA391" i="3"/>
  <c r="AZ391" i="3" s="1"/>
  <c r="BL392" i="3"/>
  <c r="AZ392" i="3" s="1"/>
  <c r="G393"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BA15" i="3"/>
  <c r="BB5" i="3"/>
  <c r="BR5" i="3"/>
  <c r="AZ380" i="3"/>
  <c r="AZ499" i="3"/>
  <c r="AZ509" i="3"/>
  <c r="G509" i="3"/>
  <c r="BL493" i="3"/>
  <c r="AZ493" i="3"/>
  <c r="U36" i="40"/>
  <c r="F83" i="43"/>
  <c r="H85" i="43" s="1"/>
  <c r="F50" i="43"/>
  <c r="H54" i="43" s="1"/>
  <c r="G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271" i="3"/>
  <c r="AZ133" i="3"/>
  <c r="AZ72" i="3"/>
  <c r="AZ7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54" i="3"/>
  <c r="AZ286" i="3"/>
  <c r="B12" i="1"/>
  <c r="E12" i="1" s="1"/>
  <c r="B10" i="1"/>
  <c r="E10" i="1" s="1"/>
  <c r="K12" i="1"/>
  <c r="M12" i="1" s="1"/>
  <c r="S13" i="1"/>
  <c r="AR13" i="1" s="1"/>
  <c r="R13" i="1"/>
  <c r="J51" i="67"/>
  <c r="C42" i="1"/>
  <c r="C24" i="12"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29" i="33"/>
  <c r="AB29" i="33"/>
  <c r="H41" i="33"/>
  <c r="U41" i="33" s="1"/>
  <c r="F121" i="33"/>
  <c r="G121" i="33" s="1"/>
  <c r="H121" i="33" s="1"/>
  <c r="I121" i="33" s="1"/>
  <c r="J121" i="33" s="1"/>
  <c r="K121" i="33" s="1"/>
  <c r="L121" i="33" s="1"/>
  <c r="M121" i="33" s="1"/>
  <c r="F36" i="33"/>
  <c r="AA36" i="33" s="1"/>
  <c r="J35" i="33"/>
  <c r="AC35" i="33" s="1"/>
  <c r="F101" i="33"/>
  <c r="G101" i="33" s="1"/>
  <c r="H101" i="33" s="1"/>
  <c r="I101" i="33" s="1"/>
  <c r="J101" i="33" s="1"/>
  <c r="K101" i="33" s="1"/>
  <c r="L101" i="33" s="1"/>
  <c r="M101" i="33" s="1"/>
  <c r="J32" i="33"/>
  <c r="AC32" i="33" s="1"/>
  <c r="S46" i="33"/>
  <c r="W43" i="33"/>
  <c r="S43" i="33"/>
  <c r="F91" i="33"/>
  <c r="H27" i="33"/>
  <c r="AB27" i="33" s="1"/>
  <c r="F87" i="33"/>
  <c r="H25" i="33"/>
  <c r="U25" i="33" s="1"/>
  <c r="F25" i="33"/>
  <c r="S25" i="33" s="1"/>
  <c r="J23" i="33"/>
  <c r="AC23" i="33" s="1"/>
  <c r="F85" i="33"/>
  <c r="G85" i="33" s="1"/>
  <c r="H23" i="33"/>
  <c r="U23" i="33" s="1"/>
  <c r="F81" i="33"/>
  <c r="F19" i="33"/>
  <c r="S19" i="33" s="1"/>
  <c r="J17" i="33"/>
  <c r="AC17" i="33" s="1"/>
  <c r="F79" i="33"/>
  <c r="G79" i="33" s="1"/>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W46" i="33"/>
  <c r="S33" i="33"/>
  <c r="U44" i="33"/>
  <c r="AB44" i="33"/>
  <c r="S30" i="33"/>
  <c r="AA30" i="33"/>
  <c r="AC14" i="33"/>
  <c r="W14" i="33"/>
  <c r="AC30" i="33"/>
  <c r="W30" i="33"/>
  <c r="S31" i="33"/>
  <c r="AA31" i="33"/>
  <c r="W13" i="33"/>
  <c r="AC13" i="33"/>
  <c r="U15"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23" i="37"/>
  <c r="J23" i="37"/>
  <c r="G79" i="37"/>
  <c r="J10" i="37"/>
  <c r="W10" i="37" s="1"/>
  <c r="G63" i="37"/>
  <c r="H63" i="37" s="1"/>
  <c r="I63" i="37" s="1"/>
  <c r="J63" i="37" s="1"/>
  <c r="K63" i="37" s="1"/>
  <c r="L63" i="37" s="1"/>
  <c r="M63" i="37" s="1"/>
  <c r="H11" i="37"/>
  <c r="AB11" i="37" s="1"/>
  <c r="H11" i="34"/>
  <c r="U11" i="34" s="1"/>
  <c r="J10" i="34"/>
  <c r="AC10" i="34" s="1"/>
  <c r="AB41" i="33"/>
  <c r="J36" i="33"/>
  <c r="W36" i="33" s="1"/>
  <c r="G91" i="33"/>
  <c r="H91" i="33" s="1"/>
  <c r="I91" i="33" s="1"/>
  <c r="J91" i="33" s="1"/>
  <c r="K91" i="33" s="1"/>
  <c r="L91" i="33" s="1"/>
  <c r="M91" i="33" s="1"/>
  <c r="J27" i="33"/>
  <c r="AC27" i="33" s="1"/>
  <c r="G87" i="33"/>
  <c r="H87" i="33" s="1"/>
  <c r="I87" i="33" s="1"/>
  <c r="J87" i="33" s="1"/>
  <c r="K87" i="33" s="1"/>
  <c r="L87" i="33" s="1"/>
  <c r="M87" i="33" s="1"/>
  <c r="J25" i="33"/>
  <c r="AC25" i="33" s="1"/>
  <c r="F23" i="33"/>
  <c r="H19" i="33"/>
  <c r="AB19" i="33" s="1"/>
  <c r="G81" i="33"/>
  <c r="H17" i="33"/>
  <c r="U17" i="33" s="1"/>
  <c r="F17" i="33"/>
  <c r="S17" i="33" s="1"/>
  <c r="AA23" i="21"/>
  <c r="J23" i="21"/>
  <c r="F85" i="21"/>
  <c r="G85" i="21" s="1"/>
  <c r="H23" i="21"/>
  <c r="U23" i="21" s="1"/>
  <c r="S13" i="21"/>
  <c r="D6" i="52"/>
  <c r="AP7" i="1"/>
  <c r="AB45" i="21"/>
  <c r="AB9" i="21"/>
  <c r="U9" i="21"/>
  <c r="S32" i="21"/>
  <c r="W9" i="21"/>
  <c r="AC9" i="21"/>
  <c r="AB32" i="21"/>
  <c r="U32" i="21"/>
  <c r="AC32" i="39"/>
  <c r="W32" i="39"/>
  <c r="W23" i="37"/>
  <c r="AC23" i="37"/>
  <c r="J11" i="37"/>
  <c r="AC11" i="37" s="1"/>
  <c r="J11" i="34"/>
  <c r="W11" i="34" s="1"/>
  <c r="AC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15"/>
  <c r="F6" i="73"/>
  <c r="F37" i="15"/>
  <c r="M8" i="67"/>
  <c r="L48" i="67"/>
  <c r="F3" i="73"/>
  <c r="F13" i="67"/>
  <c r="M23" i="15"/>
  <c r="F5" i="73"/>
  <c r="F8" i="15"/>
  <c r="F9" i="15"/>
  <c r="L47" i="67"/>
  <c r="B12" i="76"/>
  <c r="D6" i="73"/>
  <c r="M6" i="15"/>
  <c r="E7" i="76"/>
  <c r="F9" i="67"/>
  <c r="J15" i="15"/>
  <c r="E10" i="76"/>
  <c r="J15" i="67"/>
  <c r="B7" i="76"/>
  <c r="F13" i="15"/>
  <c r="AO13" i="1"/>
  <c r="F16" i="15"/>
  <c r="F42" i="15"/>
  <c r="B13" i="76"/>
  <c r="E9" i="76"/>
  <c r="F37" i="67"/>
  <c r="F8" i="67"/>
  <c r="F16" i="67"/>
  <c r="E2" i="69"/>
  <c r="F40" i="15"/>
  <c r="F7" i="73"/>
  <c r="L48" i="15"/>
  <c r="F26" i="15"/>
  <c r="M24" i="15"/>
  <c r="E8" i="76"/>
  <c r="M8" i="15"/>
  <c r="E2" i="68"/>
  <c r="M24" i="67"/>
  <c r="F40" i="67"/>
  <c r="M9" i="15"/>
  <c r="L47" i="15"/>
  <c r="F36" i="15"/>
  <c r="B8" i="76"/>
  <c r="B9" i="76"/>
  <c r="B10" i="76"/>
  <c r="F26" i="67"/>
  <c r="E12" i="76"/>
  <c r="E11" i="76"/>
  <c r="F4" i="73"/>
  <c r="M28" i="67"/>
  <c r="M26" i="67"/>
  <c r="F38" i="15"/>
  <c r="M6" i="67"/>
  <c r="M23" i="67"/>
  <c r="F20" i="31"/>
  <c r="B11" i="76"/>
  <c r="F36" i="67"/>
  <c r="M28" i="15"/>
  <c r="E13" i="76"/>
  <c r="C76" i="15"/>
  <c r="M26" i="15"/>
  <c r="J51" i="15" l="1"/>
  <c r="J57" i="9"/>
  <c r="J59" i="9" s="1"/>
  <c r="J61" i="9" s="1"/>
  <c r="AB23" i="21"/>
  <c r="AZ502" i="3"/>
  <c r="S37" i="21"/>
  <c r="AA19" i="37"/>
  <c r="AA39" i="39"/>
  <c r="S30" i="40"/>
  <c r="AZ372" i="3"/>
  <c r="AZ337" i="3"/>
  <c r="AA27" i="40"/>
  <c r="AB27" i="40"/>
  <c r="AZ14" i="3"/>
  <c r="K54" i="43"/>
  <c r="J54" i="43" s="1"/>
  <c r="M54" i="43"/>
  <c r="AZ387" i="3"/>
  <c r="AZ338" i="3"/>
  <c r="AZ371" i="3"/>
  <c r="AZ305" i="3"/>
  <c r="AZ520" i="3"/>
  <c r="U32" i="39"/>
  <c r="AB15" i="21"/>
  <c r="AB33" i="34"/>
  <c r="S23" i="39"/>
  <c r="I7" i="33"/>
  <c r="G7" i="33"/>
  <c r="E7" i="33"/>
  <c r="AZ318" i="3"/>
  <c r="AZ364" i="3"/>
  <c r="AZ329" i="3"/>
  <c r="AZ304" i="3"/>
  <c r="AZ394" i="3"/>
  <c r="AZ513" i="3"/>
  <c r="BL587" i="3"/>
  <c r="AZ587" i="3" s="1"/>
  <c r="BA551" i="3"/>
  <c r="AZ551" i="3" s="1"/>
  <c r="BA550" i="3"/>
  <c r="BL548" i="3"/>
  <c r="AZ548" i="3" s="1"/>
  <c r="A15" i="62"/>
  <c r="B61" i="72" s="1"/>
  <c r="BL398" i="3"/>
  <c r="G402" i="3"/>
  <c r="BL403" i="3"/>
  <c r="G406" i="3"/>
  <c r="G410" i="3"/>
  <c r="BL410" i="3"/>
  <c r="G412" i="3"/>
  <c r="BL413" i="3"/>
  <c r="G415" i="3"/>
  <c r="G416" i="3"/>
  <c r="BA417" i="3"/>
  <c r="AZ417" i="3" s="1"/>
  <c r="BA424" i="3"/>
  <c r="G431" i="3"/>
  <c r="AZ531" i="3"/>
  <c r="AZ583" i="3"/>
  <c r="AZ568" i="3"/>
  <c r="AZ576" i="3"/>
  <c r="AA14" i="34"/>
  <c r="U45" i="33"/>
  <c r="S28" i="34"/>
  <c r="G587" i="3"/>
  <c r="F9" i="33"/>
  <c r="AA9" i="33" s="1"/>
  <c r="H38" i="33"/>
  <c r="G558" i="3"/>
  <c r="AZ398" i="3"/>
  <c r="AZ413" i="3"/>
  <c r="BL415" i="3"/>
  <c r="AZ523" i="3"/>
  <c r="AZ547" i="3"/>
  <c r="AZ571" i="3"/>
  <c r="AZ579" i="3"/>
  <c r="BL585" i="3"/>
  <c r="H9" i="33"/>
  <c r="H12" i="33"/>
  <c r="U12" i="33" s="1"/>
  <c r="J38" i="33"/>
  <c r="AC38" i="33" s="1"/>
  <c r="W41" i="33"/>
  <c r="H9" i="34"/>
  <c r="F12" i="34"/>
  <c r="S12" i="34" s="1"/>
  <c r="H23" i="35"/>
  <c r="J23" i="36"/>
  <c r="H39" i="40"/>
  <c r="G551" i="3"/>
  <c r="BL550" i="3"/>
  <c r="G542" i="3"/>
  <c r="F7" i="1"/>
  <c r="G7" i="1" s="1"/>
  <c r="G44" i="43"/>
  <c r="BA401" i="3"/>
  <c r="AZ401" i="3" s="1"/>
  <c r="BA403" i="3"/>
  <c r="AZ403" i="3" s="1"/>
  <c r="BA404" i="3"/>
  <c r="BA405" i="3"/>
  <c r="BL408" i="3"/>
  <c r="BA411" i="3"/>
  <c r="AZ411" i="3" s="1"/>
  <c r="BL416" i="3"/>
  <c r="G418" i="3"/>
  <c r="BL423" i="3"/>
  <c r="AZ217" i="3"/>
  <c r="AZ360" i="3"/>
  <c r="AZ539" i="3"/>
  <c r="AZ529" i="3"/>
  <c r="AZ537" i="3"/>
  <c r="AZ518" i="3"/>
  <c r="AZ526" i="3"/>
  <c r="AZ546" i="3"/>
  <c r="AZ564" i="3"/>
  <c r="AZ580" i="3"/>
  <c r="AZ585" i="3"/>
  <c r="U46" i="33"/>
  <c r="B79" i="43"/>
  <c r="J9" i="34"/>
  <c r="H12" i="34"/>
  <c r="G574" i="3"/>
  <c r="BL400" i="3"/>
  <c r="AZ400" i="3" s="1"/>
  <c r="BA408" i="3"/>
  <c r="BA409" i="3"/>
  <c r="AZ409" i="3" s="1"/>
  <c r="BL412" i="3"/>
  <c r="BA422" i="3"/>
  <c r="AZ422" i="3" s="1"/>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BL161" i="3"/>
  <c r="G162" i="3"/>
  <c r="BL162" i="3"/>
  <c r="AZ162" i="3" s="1"/>
  <c r="G172" i="3"/>
  <c r="AZ458" i="3"/>
  <c r="AZ462" i="3"/>
  <c r="BL264" i="3"/>
  <c r="BL266" i="3"/>
  <c r="BA268" i="3"/>
  <c r="BL273" i="3"/>
  <c r="G274" i="3"/>
  <c r="BA277" i="3"/>
  <c r="BL277" i="3"/>
  <c r="BA282" i="3"/>
  <c r="BL282" i="3"/>
  <c r="BA284" i="3"/>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L167" i="3"/>
  <c r="AZ16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BL250" i="3"/>
  <c r="AZ250" i="3" s="1"/>
  <c r="BA259" i="3"/>
  <c r="AZ259" i="3" s="1"/>
  <c r="BL261" i="3"/>
  <c r="BA263" i="3"/>
  <c r="AZ263" i="3" s="1"/>
  <c r="BL157" i="3"/>
  <c r="AZ157" i="3" s="1"/>
  <c r="BL159" i="3"/>
  <c r="AZ159" i="3" s="1"/>
  <c r="BL404" i="3"/>
  <c r="BL405" i="3"/>
  <c r="BL407" i="3"/>
  <c r="AZ407" i="3" s="1"/>
  <c r="BA412" i="3"/>
  <c r="AZ412" i="3" s="1"/>
  <c r="BA414" i="3"/>
  <c r="AZ414" i="3" s="1"/>
  <c r="BA415" i="3"/>
  <c r="BA416" i="3"/>
  <c r="BA418" i="3"/>
  <c r="AZ418" i="3" s="1"/>
  <c r="BA421" i="3"/>
  <c r="AZ421" i="3" s="1"/>
  <c r="BA423" i="3"/>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AZ476" i="3" s="1"/>
  <c r="BL477" i="3"/>
  <c r="BL478" i="3"/>
  <c r="BL480" i="3"/>
  <c r="AZ480" i="3" s="1"/>
  <c r="BA483" i="3"/>
  <c r="BL483" i="3"/>
  <c r="AZ483" i="3" s="1"/>
  <c r="BA486" i="3"/>
  <c r="BL489" i="3"/>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6" i="3"/>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AZ38" i="3" s="1"/>
  <c r="BA41" i="3"/>
  <c r="AZ41" i="3" s="1"/>
  <c r="BA42" i="3"/>
  <c r="G47" i="3"/>
  <c r="BL48" i="3"/>
  <c r="BL54" i="3"/>
  <c r="BL55" i="3"/>
  <c r="AZ55" i="3" s="1"/>
  <c r="G58" i="3"/>
  <c r="BA59" i="3"/>
  <c r="AZ59" i="3" s="1"/>
  <c r="BL61" i="3"/>
  <c r="G64" i="3"/>
  <c r="BA64" i="3"/>
  <c r="AZ64" i="3" s="1"/>
  <c r="G67" i="3"/>
  <c r="BL68" i="3"/>
  <c r="BA69" i="3"/>
  <c r="AZ69" i="3" s="1"/>
  <c r="G72" i="3"/>
  <c r="BA73" i="3"/>
  <c r="BL77" i="3"/>
  <c r="BA79" i="3"/>
  <c r="AZ79" i="3" s="1"/>
  <c r="BA88" i="3"/>
  <c r="AZ88" i="3" s="1"/>
  <c r="BA91" i="3"/>
  <c r="AZ91" i="3" s="1"/>
  <c r="BL97" i="3"/>
  <c r="AZ97" i="3" s="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G55" i="3"/>
  <c r="BL56" i="3"/>
  <c r="BA58" i="3"/>
  <c r="AZ58" i="3" s="1"/>
  <c r="BL59" i="3"/>
  <c r="BL60" i="3"/>
  <c r="BA61" i="3"/>
  <c r="BA68" i="3"/>
  <c r="G80" i="3"/>
  <c r="G85" i="3"/>
  <c r="BL85" i="3"/>
  <c r="BA86" i="3"/>
  <c r="AZ86" i="3" s="1"/>
  <c r="BA87" i="3"/>
  <c r="BA89" i="3"/>
  <c r="BL92" i="3"/>
  <c r="BL96" i="3"/>
  <c r="V24" i="71"/>
  <c r="E23" i="71"/>
  <c r="E22" i="71" s="1"/>
  <c r="E21" i="71" s="1"/>
  <c r="E20" i="71" s="1"/>
  <c r="BA197" i="3"/>
  <c r="AZ197" i="3" s="1"/>
  <c r="BA18" i="3"/>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BA77" i="3"/>
  <c r="BA80" i="3"/>
  <c r="G84" i="3"/>
  <c r="BL84" i="3"/>
  <c r="AZ84" i="3" s="1"/>
  <c r="G95" i="3"/>
  <c r="G96" i="3"/>
  <c r="BA101" i="3"/>
  <c r="AZ101" i="3" s="1"/>
  <c r="BL106" i="3"/>
  <c r="BA108" i="3"/>
  <c r="C26" i="71"/>
  <c r="D26" i="71" s="1"/>
  <c r="D27" i="71"/>
  <c r="D46" i="71"/>
  <c r="C47" i="71"/>
  <c r="D47" i="71" s="1"/>
  <c r="BL178" i="3"/>
  <c r="BA180" i="3"/>
  <c r="AZ180" i="3" s="1"/>
  <c r="BL182" i="3"/>
  <c r="BA185" i="3"/>
  <c r="BL191" i="3"/>
  <c r="AZ191" i="3" s="1"/>
  <c r="BA193" i="3"/>
  <c r="BA196" i="3"/>
  <c r="AZ196" i="3" s="1"/>
  <c r="G203" i="3"/>
  <c r="BA205" i="3"/>
  <c r="AZ205" i="3" s="1"/>
  <c r="AZ25" i="3"/>
  <c r="AZ52" i="3"/>
  <c r="P65" i="71"/>
  <c r="P66" i="71"/>
  <c r="D54" i="71"/>
  <c r="C55" i="71"/>
  <c r="D60" i="71"/>
  <c r="D66" i="71"/>
  <c r="C40" i="71"/>
  <c r="C70" i="71"/>
  <c r="D70" i="71" s="1"/>
  <c r="D75" i="71"/>
  <c r="D28" i="71"/>
  <c r="U28" i="71" s="1"/>
  <c r="AB28" i="71"/>
  <c r="T28" i="71"/>
  <c r="Q67" i="71"/>
  <c r="C63" i="71"/>
  <c r="C31"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99" i="3"/>
  <c r="G103" i="3"/>
  <c r="BA103" i="3"/>
  <c r="AZ103" i="3" s="1"/>
  <c r="BA104" i="3"/>
  <c r="BA106" i="3"/>
  <c r="BL108" i="3"/>
  <c r="G110" i="3"/>
  <c r="BL111" i="3"/>
  <c r="C58" i="83"/>
  <c r="D58" i="83" s="1"/>
  <c r="E58" i="83" s="1"/>
  <c r="F58" i="83" s="1"/>
  <c r="G58" i="83" s="1"/>
  <c r="H58" i="83" s="1"/>
  <c r="I58" i="83" s="1"/>
  <c r="J58" i="83" s="1"/>
  <c r="K58" i="83" s="1"/>
  <c r="L58" i="83" s="1"/>
  <c r="M58" i="83" s="1"/>
  <c r="N58" i="83" s="1"/>
  <c r="O58" i="83" s="1"/>
  <c r="E7" i="83"/>
  <c r="F7" i="83" s="1"/>
  <c r="I7" i="83"/>
  <c r="G7" i="83"/>
  <c r="S21" i="37"/>
  <c r="B77" i="43"/>
  <c r="AA18" i="35"/>
  <c r="O66" i="71"/>
  <c r="AA28" i="71"/>
  <c r="AB27" i="71"/>
  <c r="C87" i="71"/>
  <c r="AB25" i="71"/>
  <c r="C43" i="71"/>
  <c r="Y25" i="71"/>
  <c r="Z25" i="71" s="1"/>
  <c r="C35" i="71"/>
  <c r="Y29" i="71"/>
  <c r="Z29" i="71" s="1"/>
  <c r="X33" i="71"/>
  <c r="AB37" i="71"/>
  <c r="S72" i="71"/>
  <c r="BL112" i="3"/>
  <c r="AC21" i="21"/>
  <c r="X28" i="7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C21" i="37"/>
  <c r="U25" i="40"/>
  <c r="S21" i="34"/>
  <c r="B68" i="43"/>
  <c r="B88" i="43"/>
  <c r="U68" i="71"/>
  <c r="X31" i="71"/>
  <c r="AA34" i="71"/>
  <c r="AB35" i="71"/>
  <c r="B51" i="71"/>
  <c r="B52" i="71" s="1"/>
  <c r="S52" i="71" s="1"/>
  <c r="S41" i="33"/>
  <c r="U39" i="33"/>
  <c r="S37" i="33"/>
  <c r="S38" i="33"/>
  <c r="W38" i="33"/>
  <c r="W44" i="33"/>
  <c r="W33" i="33"/>
  <c r="AB23" i="33"/>
  <c r="S21" i="33"/>
  <c r="AA17" i="33"/>
  <c r="W17" i="33"/>
  <c r="W15" i="33"/>
  <c r="AB21" i="33"/>
  <c r="U19" i="33"/>
  <c r="AA19" i="33"/>
  <c r="W19" i="33"/>
  <c r="S28" i="33"/>
  <c r="H36" i="33"/>
  <c r="U36" i="33" s="1"/>
  <c r="S36" i="33"/>
  <c r="S39" i="33"/>
  <c r="W39" i="33"/>
  <c r="AC37" i="33"/>
  <c r="U37" i="33"/>
  <c r="S42" i="33"/>
  <c r="U42" i="33"/>
  <c r="U35" i="33"/>
  <c r="W35" i="33"/>
  <c r="AA35" i="33"/>
  <c r="AA34" i="33"/>
  <c r="AB34" i="33"/>
  <c r="AC34" i="33"/>
  <c r="U32" i="33"/>
  <c r="AA32" i="33"/>
  <c r="W32" i="33"/>
  <c r="AC28" i="33"/>
  <c r="AB28" i="33"/>
  <c r="S27" i="33"/>
  <c r="U27" i="33"/>
  <c r="W27" i="33"/>
  <c r="W26" i="33"/>
  <c r="S26" i="33"/>
  <c r="U26" i="33"/>
  <c r="AA25" i="33"/>
  <c r="W25" i="33"/>
  <c r="AB25" i="33"/>
  <c r="U11" i="33"/>
  <c r="W8" i="33"/>
  <c r="C40" i="11"/>
  <c r="C21" i="68"/>
  <c r="D93" i="9"/>
  <c r="B41" i="1"/>
  <c r="F53" i="9" s="1"/>
  <c r="C40" i="68"/>
  <c r="C40" i="69"/>
  <c r="BL15" i="3"/>
  <c r="AZ15"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F26" i="43"/>
  <c r="A1" i="79"/>
  <c r="H55" i="43"/>
  <c r="G55" i="43" s="1"/>
  <c r="H86" i="43"/>
  <c r="H87" i="43"/>
  <c r="N370" i="46"/>
  <c r="N94" i="46"/>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F51" i="15"/>
  <c r="L59" i="15"/>
  <c r="N59" i="15"/>
  <c r="L58" i="15"/>
  <c r="M59" i="15"/>
  <c r="F66" i="15"/>
  <c r="F64" i="15"/>
  <c r="C27" i="67"/>
  <c r="C27" i="15"/>
  <c r="F65" i="15"/>
  <c r="N59" i="67"/>
  <c r="L59" i="67"/>
  <c r="L58" i="67"/>
  <c r="M59" i="67"/>
  <c r="B13" i="70"/>
  <c r="F68" i="67"/>
  <c r="F64" i="67"/>
  <c r="F68" i="15"/>
  <c r="C36" i="68"/>
  <c r="D9" i="69"/>
  <c r="D9" i="68"/>
  <c r="C76" i="67"/>
  <c r="D4" i="73"/>
  <c r="M22" i="67"/>
  <c r="M9" i="67"/>
  <c r="F42" i="67"/>
  <c r="D5" i="73"/>
  <c r="D7" i="73"/>
  <c r="F38" i="67"/>
  <c r="D3" i="73"/>
  <c r="H7" i="83" l="1"/>
  <c r="U7" i="83" s="1"/>
  <c r="C44" i="43"/>
  <c r="J7" i="83"/>
  <c r="W7" i="83" s="1"/>
  <c r="Q71" i="67"/>
  <c r="F66" i="67"/>
  <c r="M55" i="43"/>
  <c r="N55" i="43" s="1"/>
  <c r="K55" i="43"/>
  <c r="J7" i="36"/>
  <c r="K57" i="43"/>
  <c r="J57" i="43" s="1"/>
  <c r="D57" i="43" s="1"/>
  <c r="M57" i="43"/>
  <c r="N57" i="43" s="1"/>
  <c r="M51" i="43"/>
  <c r="N51" i="43" s="1"/>
  <c r="K51" i="43"/>
  <c r="J51" i="43" s="1"/>
  <c r="D51" i="43" s="1"/>
  <c r="AZ112" i="3"/>
  <c r="G5" i="3"/>
  <c r="B3" i="3" s="1"/>
  <c r="F19" i="6" s="1"/>
  <c r="E19" i="6" s="1"/>
  <c r="M53" i="43"/>
  <c r="N53" i="43" s="1"/>
  <c r="K53" i="43"/>
  <c r="J53" i="43" s="1"/>
  <c r="G26" i="43"/>
  <c r="M58" i="43"/>
  <c r="N58" i="43" s="1"/>
  <c r="K58" i="43"/>
  <c r="J58" i="43" s="1"/>
  <c r="D58" i="43" s="1"/>
  <c r="E28" i="6"/>
  <c r="K14" i="1" s="1"/>
  <c r="K50" i="43"/>
  <c r="M50" i="43"/>
  <c r="N50" i="43" s="1"/>
  <c r="AZ107" i="3"/>
  <c r="C44" i="71"/>
  <c r="D43" i="71"/>
  <c r="C32" i="71"/>
  <c r="D31" i="71"/>
  <c r="T40" i="71"/>
  <c r="D40" i="71"/>
  <c r="AZ166" i="3"/>
  <c r="AZ273" i="3"/>
  <c r="AZ423" i="3"/>
  <c r="AZ415" i="3"/>
  <c r="AZ302" i="3"/>
  <c r="AZ284" i="3"/>
  <c r="AZ277" i="3"/>
  <c r="AZ229" i="3"/>
  <c r="AZ218" i="3"/>
  <c r="AZ408" i="3"/>
  <c r="AC9" i="34"/>
  <c r="W9" i="34"/>
  <c r="AZ405" i="3"/>
  <c r="N54" i="43"/>
  <c r="D54" i="43"/>
  <c r="AB7" i="83"/>
  <c r="T48" i="83" s="1"/>
  <c r="G48" i="83" s="1"/>
  <c r="C64" i="71"/>
  <c r="D63" i="71"/>
  <c r="AZ51" i="3"/>
  <c r="AZ404" i="3"/>
  <c r="AB39" i="40"/>
  <c r="U39" i="40"/>
  <c r="AB9" i="34"/>
  <c r="U9" i="34"/>
  <c r="AB9" i="33"/>
  <c r="U9" i="33"/>
  <c r="AB38" i="33"/>
  <c r="U38" i="33"/>
  <c r="M52" i="43"/>
  <c r="N52" i="43" s="1"/>
  <c r="K52" i="43"/>
  <c r="J52" i="43" s="1"/>
  <c r="M56" i="43"/>
  <c r="N56" i="43" s="1"/>
  <c r="K56" i="43"/>
  <c r="C36" i="71"/>
  <c r="D35" i="71"/>
  <c r="C86" i="71"/>
  <c r="D86" i="71" s="1"/>
  <c r="D87" i="71"/>
  <c r="AC7" i="83"/>
  <c r="V48" i="83" s="1"/>
  <c r="I48" i="83" s="1"/>
  <c r="AZ61" i="3"/>
  <c r="AZ49" i="3"/>
  <c r="AZ457" i="3"/>
  <c r="AZ243" i="3"/>
  <c r="AZ368" i="3"/>
  <c r="AZ353" i="3"/>
  <c r="AZ282" i="3"/>
  <c r="AZ118" i="3"/>
  <c r="AZ332" i="3"/>
  <c r="AC23" i="36"/>
  <c r="W23" i="36"/>
  <c r="S7" i="83"/>
  <c r="AA7" i="83"/>
  <c r="R48" i="83" s="1"/>
  <c r="B27" i="71"/>
  <c r="B26" i="71" s="1"/>
  <c r="S28" i="71"/>
  <c r="D55" i="71"/>
  <c r="C56" i="71"/>
  <c r="AZ108" i="3"/>
  <c r="AZ77" i="3"/>
  <c r="AZ27" i="3"/>
  <c r="AZ178" i="3"/>
  <c r="AZ416" i="3"/>
  <c r="AZ297" i="3"/>
  <c r="AZ251" i="3"/>
  <c r="AZ247" i="3"/>
  <c r="AZ464" i="3"/>
  <c r="AZ441" i="3"/>
  <c r="AB12" i="34"/>
  <c r="U12" i="34"/>
  <c r="U23" i="35"/>
  <c r="AB23" i="35"/>
  <c r="AZ550" i="3"/>
  <c r="AB36" i="33"/>
  <c r="J26" i="43"/>
  <c r="F48" i="9"/>
  <c r="O52" i="9" s="1"/>
  <c r="F28" i="67"/>
  <c r="C28" i="67" s="1"/>
  <c r="F32" i="67"/>
  <c r="F60" i="67" s="1"/>
  <c r="F28" i="15"/>
  <c r="C28" i="15" s="1"/>
  <c r="F30" i="69"/>
  <c r="D68" i="9"/>
  <c r="F31" i="12"/>
  <c r="C31" i="12" s="1"/>
  <c r="M18" i="67"/>
  <c r="M18" i="15"/>
  <c r="F30" i="68"/>
  <c r="F52" i="9"/>
  <c r="F32" i="15"/>
  <c r="F60" i="15" s="1"/>
  <c r="F54" i="9"/>
  <c r="F30" i="11"/>
  <c r="E26" i="43"/>
  <c r="D26" i="43" s="1"/>
  <c r="C25" i="43" s="1"/>
  <c r="J7" i="37"/>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AC6" i="3"/>
  <c r="H6" i="3"/>
  <c r="E58" i="40"/>
  <c r="E62" i="39"/>
  <c r="M14" i="1"/>
  <c r="D5" i="43"/>
  <c r="C7" i="43"/>
  <c r="C5" i="43" s="1"/>
  <c r="D10" i="52"/>
  <c r="D125" i="9"/>
  <c r="D11" i="52" s="1"/>
  <c r="B7" i="74"/>
  <c r="C7" i="74" s="1"/>
  <c r="F67" i="39"/>
  <c r="E69" i="39"/>
  <c r="H7" i="37"/>
  <c r="AB7" i="37" s="1"/>
  <c r="T42" i="37" s="1"/>
  <c r="G42" i="37" s="1"/>
  <c r="H7" i="33"/>
  <c r="J7" i="33"/>
  <c r="D65" i="40"/>
  <c r="E63" i="40"/>
  <c r="F48" i="35"/>
  <c r="S7" i="36"/>
  <c r="AC7" i="37"/>
  <c r="W7" i="37"/>
  <c r="AB7" i="36"/>
  <c r="T36" i="36" s="1"/>
  <c r="G36" i="36" s="1"/>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9" i="1"/>
  <c r="AE7" i="1"/>
  <c r="AE8" i="1"/>
  <c r="AE12" i="1"/>
  <c r="AE10" i="1"/>
  <c r="G1" i="73"/>
  <c r="AE6" i="1"/>
  <c r="E202" i="3" l="1"/>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J56" i="43"/>
  <c r="D56" i="43"/>
  <c r="D64" i="71"/>
  <c r="T64" i="71"/>
  <c r="J55" i="43"/>
  <c r="D55" i="43"/>
  <c r="D56" i="71"/>
  <c r="T56" i="71"/>
  <c r="E48" i="83"/>
  <c r="R49" i="83"/>
  <c r="T32" i="71"/>
  <c r="D32" i="71"/>
  <c r="D3" i="83"/>
  <c r="K6" i="1"/>
  <c r="F27" i="6"/>
  <c r="F31" i="6" s="1"/>
  <c r="G52" i="83"/>
  <c r="H52" i="83" s="1"/>
  <c r="G53" i="83"/>
  <c r="H53" i="83" s="1"/>
  <c r="J50" i="43"/>
  <c r="D50" i="43"/>
  <c r="I52" i="83"/>
  <c r="J52" i="83" s="1"/>
  <c r="I53" i="83"/>
  <c r="J53" i="83" s="1"/>
  <c r="T36" i="71"/>
  <c r="D36" i="71"/>
  <c r="T44" i="71"/>
  <c r="D44" i="71"/>
  <c r="C48" i="11"/>
  <c r="C30" i="11"/>
  <c r="F48" i="68"/>
  <c r="C48" i="68"/>
  <c r="C30" i="68"/>
  <c r="F48" i="69"/>
  <c r="C48" i="69"/>
  <c r="C30" i="69"/>
  <c r="E3" i="6"/>
  <c r="B14" i="74"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53" i="15"/>
  <c r="M29" i="67"/>
  <c r="M27" i="67"/>
  <c r="F7" i="67"/>
  <c r="F41" i="67"/>
  <c r="F41" i="15"/>
  <c r="F43" i="67"/>
  <c r="F7" i="15"/>
  <c r="F43" i="15"/>
  <c r="M29" i="15"/>
  <c r="M27" i="15"/>
  <c r="G54" i="34" l="1"/>
  <c r="H54" i="34" s="1"/>
  <c r="M7" i="15"/>
  <c r="F50" i="15"/>
  <c r="F50" i="67"/>
  <c r="M7" i="67"/>
  <c r="F71" i="15"/>
  <c r="F71" i="67"/>
  <c r="E50" i="43"/>
  <c r="B48" i="43" s="1"/>
  <c r="C28" i="43" s="1"/>
  <c r="AP6" i="1"/>
  <c r="C36" i="69" s="1"/>
  <c r="Q16" i="1"/>
  <c r="M6" i="1"/>
  <c r="H16" i="1"/>
  <c r="G16" i="1"/>
  <c r="K16" i="1"/>
  <c r="C48" i="83"/>
  <c r="C49" i="83"/>
  <c r="E52" i="83"/>
  <c r="F52" i="83" s="1"/>
  <c r="E53" i="83"/>
  <c r="F53" i="83" s="1"/>
  <c r="F69" i="67"/>
  <c r="F25" i="12"/>
  <c r="C26" i="12" s="1"/>
  <c r="D25" i="12" s="1"/>
  <c r="D116" i="43"/>
  <c r="F22" i="68"/>
  <c r="C26" i="68" s="1"/>
  <c r="D22" i="68" s="1"/>
  <c r="F22" i="11"/>
  <c r="C44" i="11" s="1"/>
  <c r="D41"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6" i="15"/>
  <c r="C17" i="15"/>
  <c r="C17" i="67"/>
  <c r="C16" i="67"/>
  <c r="C14" i="67"/>
  <c r="F27" i="69" l="1"/>
  <c r="F27" i="11"/>
  <c r="F27" i="68"/>
  <c r="F28" i="12"/>
  <c r="C29" i="12" s="1"/>
  <c r="D28" i="12" s="1"/>
  <c r="J6" i="67"/>
  <c r="M17" i="67"/>
  <c r="F10" i="39"/>
  <c r="F10" i="40"/>
  <c r="J10" i="39"/>
  <c r="J10" i="40"/>
  <c r="H10" i="40"/>
  <c r="H10" i="39"/>
  <c r="F59" i="67"/>
  <c r="C49" i="67"/>
  <c r="C48" i="67" s="1"/>
  <c r="C66" i="67" s="1"/>
  <c r="C28" i="11"/>
  <c r="C27" i="11" s="1"/>
  <c r="R24" i="31"/>
  <c r="B2" i="83"/>
  <c r="B3" i="83"/>
  <c r="F59" i="15"/>
  <c r="C49" i="15"/>
  <c r="C48" i="15" s="1"/>
  <c r="C66" i="15" s="1"/>
  <c r="O6" i="1"/>
  <c r="O16" i="1" s="1"/>
  <c r="M16" i="1"/>
  <c r="T11" i="43"/>
  <c r="V11" i="43" s="1"/>
  <c r="T14" i="43"/>
  <c r="V14" i="43" s="1"/>
  <c r="T4" i="43"/>
  <c r="V4" i="43" s="1"/>
  <c r="T5" i="43"/>
  <c r="V5" i="43" s="1"/>
  <c r="C41" i="43"/>
  <c r="T9" i="43"/>
  <c r="V9" i="43" s="1"/>
  <c r="T12" i="43"/>
  <c r="V12" i="43" s="1"/>
  <c r="T3" i="43"/>
  <c r="V3" i="43" s="1"/>
  <c r="C33" i="43"/>
  <c r="E33" i="43" s="1"/>
  <c r="T15" i="43"/>
  <c r="V15" i="43" s="1"/>
  <c r="T7" i="43"/>
  <c r="V7" i="43" s="1"/>
  <c r="T10" i="43"/>
  <c r="V10" i="43" s="1"/>
  <c r="T2" i="43"/>
  <c r="V2" i="43" s="1"/>
  <c r="C40" i="43"/>
  <c r="C42" i="43"/>
  <c r="T13" i="43"/>
  <c r="V13" i="43" s="1"/>
  <c r="T16" i="43"/>
  <c r="V16" i="43" s="1"/>
  <c r="T8" i="43"/>
  <c r="V8" i="43" s="1"/>
  <c r="T6" i="43"/>
  <c r="V6" i="43" s="1"/>
  <c r="C37" i="43"/>
  <c r="C38" i="43"/>
  <c r="C39" i="43"/>
  <c r="J6" i="15"/>
  <c r="M17" i="15"/>
  <c r="C44" i="68"/>
  <c r="D41" i="68" s="1"/>
  <c r="C26" i="69"/>
  <c r="D22" i="69" s="1"/>
  <c r="F41" i="68"/>
  <c r="C23" i="11"/>
  <c r="C25" i="11"/>
  <c r="C26" i="11"/>
  <c r="D22" i="11" s="1"/>
  <c r="C24" i="11"/>
  <c r="C44" i="69"/>
  <c r="D41" i="69" s="1"/>
  <c r="C16" i="71"/>
  <c r="M23" i="43" s="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V22" i="1" s="1"/>
  <c r="H58" i="21"/>
  <c r="E47" i="37"/>
  <c r="F47" i="37" s="1"/>
  <c r="E46" i="37"/>
  <c r="F46" i="37" s="1"/>
  <c r="I47" i="37"/>
  <c r="J47" i="37" s="1"/>
  <c r="E53" i="33"/>
  <c r="F53" i="33" s="1"/>
  <c r="E52" i="33"/>
  <c r="F52" i="33" s="1"/>
  <c r="C33" i="15"/>
  <c r="C33" i="67"/>
  <c r="J19" i="67"/>
  <c r="C34" i="68"/>
  <c r="C14" i="15"/>
  <c r="J18" i="15" l="1"/>
  <c r="J5" i="15"/>
  <c r="J24" i="15" s="1"/>
  <c r="E42" i="43"/>
  <c r="G42" i="43"/>
  <c r="I42" i="43" s="1"/>
  <c r="G39" i="43"/>
  <c r="I39" i="43" s="1"/>
  <c r="E39" i="43"/>
  <c r="E40" i="43"/>
  <c r="G40" i="43"/>
  <c r="I40" i="43" s="1"/>
  <c r="S24" i="31"/>
  <c r="R28" i="31"/>
  <c r="S28" i="31" s="1"/>
  <c r="R27" i="31"/>
  <c r="S27" i="31" s="1"/>
  <c r="R26" i="31"/>
  <c r="S26" i="31" s="1"/>
  <c r="R25" i="31"/>
  <c r="S25" i="31" s="1"/>
  <c r="U10" i="39"/>
  <c r="AB10" i="39"/>
  <c r="S10" i="40"/>
  <c r="AA10" i="40"/>
  <c r="G38" i="43"/>
  <c r="I38" i="43" s="1"/>
  <c r="E38" i="43"/>
  <c r="C34" i="43"/>
  <c r="E34" i="43" s="1"/>
  <c r="C6" i="68"/>
  <c r="C7" i="68" s="1"/>
  <c r="E41" i="43"/>
  <c r="G41" i="43"/>
  <c r="I41" i="43" s="1"/>
  <c r="AB10" i="40"/>
  <c r="U10" i="40"/>
  <c r="AA10" i="39"/>
  <c r="S10" i="39"/>
  <c r="C29" i="68"/>
  <c r="D27" i="68" s="1"/>
  <c r="F45" i="68"/>
  <c r="C47" i="68"/>
  <c r="D45" i="68" s="1"/>
  <c r="E37" i="43"/>
  <c r="C30" i="43" s="1"/>
  <c r="G37" i="43"/>
  <c r="I37" i="43" s="1"/>
  <c r="L16" i="1"/>
  <c r="N16" i="1"/>
  <c r="AC10" i="40"/>
  <c r="W10" i="40"/>
  <c r="C29" i="11"/>
  <c r="D27" i="11" s="1"/>
  <c r="C47" i="11"/>
  <c r="D45" i="11" s="1"/>
  <c r="W10" i="39"/>
  <c r="AC10" i="39"/>
  <c r="J18" i="67"/>
  <c r="J5" i="67"/>
  <c r="J24" i="67" s="1"/>
  <c r="C47" i="69"/>
  <c r="D45" i="69" s="1"/>
  <c r="C29" i="69"/>
  <c r="D27" i="69" s="1"/>
  <c r="F45" i="69"/>
  <c r="V25" i="1"/>
  <c r="W25" i="1" s="1"/>
  <c r="V23" i="1"/>
  <c r="W23" i="1" s="1"/>
  <c r="Z22" i="1"/>
  <c r="V26" i="1"/>
  <c r="W26" i="1" s="1"/>
  <c r="W22" i="1"/>
  <c r="V24" i="1"/>
  <c r="W24" i="1"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B2" i="43" l="1"/>
  <c r="F50" i="68"/>
  <c r="F50" i="69"/>
  <c r="F50" i="11"/>
  <c r="C5" i="68"/>
  <c r="C23" i="68" s="1"/>
  <c r="C31" i="43"/>
  <c r="S22" i="31"/>
  <c r="W27" i="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C20" i="68" l="1"/>
  <c r="C28" i="68" s="1"/>
  <c r="C27" i="68" s="1"/>
  <c r="E2" i="76"/>
  <c r="B2" i="76"/>
  <c r="R22" i="31"/>
  <c r="B20" i="31"/>
  <c r="B21" i="31" s="1"/>
  <c r="B3" i="43"/>
  <c r="V27" i="1"/>
  <c r="C30" i="12"/>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6" i="15"/>
  <c r="F6" i="67"/>
  <c r="F35" i="67"/>
  <c r="M21" i="15"/>
  <c r="F35" i="15"/>
  <c r="M21" i="67"/>
  <c r="B3" i="76" l="1"/>
  <c r="F31" i="67"/>
  <c r="C6" i="67"/>
  <c r="C10" i="67" s="1"/>
  <c r="C5" i="67" s="1"/>
  <c r="C38" i="67" s="1"/>
  <c r="F31" i="15"/>
  <c r="C6" i="15"/>
  <c r="C10" i="15" s="1"/>
  <c r="C5" i="15" s="1"/>
  <c r="C38" i="15"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I42" i="35" l="1"/>
  <c r="J42" i="35" s="1"/>
  <c r="C31" i="67"/>
  <c r="C30" i="67" s="1"/>
  <c r="C39" i="67" s="1"/>
  <c r="Q69" i="67" s="1"/>
  <c r="Q68" i="67" s="1"/>
  <c r="C102" i="9"/>
  <c r="C21" i="9"/>
  <c r="B3" i="68"/>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2" i="1"/>
  <c r="AO10" i="1"/>
  <c r="AO9"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l="1"/>
  <c r="H118" i="9" s="1"/>
  <c r="C104" i="9" s="1"/>
  <c r="H4" i="52" l="1"/>
  <c r="H119" i="9"/>
  <c r="H5" i="52" s="1"/>
  <c r="H101" i="9"/>
  <c r="M48" i="9" s="1"/>
  <c r="C105" i="9"/>
  <c r="I4" i="52"/>
  <c r="H102" i="9"/>
  <c r="D5" i="53" l="1"/>
  <c r="D45" i="9"/>
  <c r="H107" i="9"/>
  <c r="M49" i="9" s="1"/>
  <c r="D7" i="53"/>
  <c r="B21" i="72" s="1"/>
  <c r="C5" i="74"/>
  <c r="I56" i="9" l="1"/>
  <c r="D56" i="9"/>
  <c r="D122" i="9"/>
  <c r="D8" i="52" s="1"/>
  <c r="H108" i="9"/>
  <c r="C6" i="74" s="1"/>
  <c r="D13" i="53"/>
  <c r="B30" i="72" s="1"/>
  <c r="D55" i="9"/>
  <c r="M53" i="9" s="1"/>
  <c r="D53" i="9"/>
  <c r="C93" i="9"/>
  <c r="C86" i="9" s="1"/>
  <c r="C85" i="9"/>
  <c r="D52" i="9"/>
  <c r="C78" i="9"/>
  <c r="C73" i="9" s="1"/>
  <c r="C64" i="9"/>
  <c r="C63" i="9" s="1"/>
  <c r="C67" i="9" s="1"/>
  <c r="C72" i="9"/>
  <c r="D6" i="53"/>
  <c r="B22" i="72" s="1"/>
  <c r="B20" i="72"/>
  <c r="L64" i="9"/>
  <c r="M64" i="9" s="1"/>
  <c r="L67" i="9"/>
  <c r="M67" i="9" s="1"/>
  <c r="L68" i="9"/>
  <c r="M68" i="9" s="1"/>
  <c r="L63" i="9"/>
  <c r="M63" i="9" s="1"/>
  <c r="L65" i="9"/>
  <c r="M65" i="9" s="1"/>
  <c r="L66" i="9"/>
  <c r="M66" i="9" s="1"/>
  <c r="D123" i="9" l="1"/>
  <c r="D9" i="52" s="1"/>
  <c r="D15" i="53"/>
  <c r="B31" i="72" s="1"/>
  <c r="D14" i="53"/>
  <c r="B32" i="72" s="1"/>
  <c r="C79" i="9"/>
  <c r="C95" i="9"/>
  <c r="C96" i="9" s="1"/>
  <c r="E96" i="9" s="1"/>
  <c r="E97" i="9" s="1"/>
  <c r="C68" i="9"/>
  <c r="D54" i="9" s="1"/>
  <c r="D48" i="9" s="1"/>
  <c r="M52" i="9" s="1"/>
  <c r="D59" i="9"/>
  <c r="M55" i="9" s="1"/>
  <c r="M69" i="9"/>
  <c r="N69" i="9" s="1"/>
  <c r="C97" i="9" l="1"/>
  <c r="C80" i="9"/>
  <c r="E80" i="9" s="1"/>
  <c r="E81" i="9" s="1"/>
  <c r="G118" i="9"/>
  <c r="E118" i="9" s="1"/>
  <c r="C81" i="9" l="1"/>
  <c r="D58" i="9" s="1"/>
  <c r="M54" i="9" s="1"/>
  <c r="N57" i="9" s="1"/>
  <c r="G4" i="52"/>
  <c r="B52" i="72" s="1"/>
  <c r="F118" i="9"/>
  <c r="F119" i="9" s="1"/>
  <c r="F5" i="52" s="1"/>
  <c r="B53" i="72" s="1"/>
  <c r="E4" i="52"/>
  <c r="B48" i="72" s="1"/>
  <c r="D118" i="9"/>
  <c r="D119" i="9" s="1"/>
  <c r="D5" i="52" s="1"/>
  <c r="B49" i="72" s="1"/>
  <c r="N58" i="9" l="1"/>
  <c r="N59" i="9"/>
  <c r="N60" i="9" s="1"/>
  <c r="P57" i="9"/>
  <c r="F4" i="52"/>
  <c r="B51" i="72" s="1"/>
  <c r="D4" i="52"/>
  <c r="B47" i="72"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<sst xmlns="http://schemas.openxmlformats.org/spreadsheetml/2006/main" count="8347" uniqueCount="3518">
  <si>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</si>
  <si>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</si>
  <si>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</si>
  <si>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</si>
  <si>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</si>
  <si>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</si>
  <si>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</si>
  <si>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</si>
  <si>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</si>
  <si>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</si>
  <si>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</si>
  <si>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</si>
  <si>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</si>
  <si>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</si>
  <si>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</si>
  <si>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</si>
  <si>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</si>
  <si>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</si>
  <si>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</si>
  <si>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</si>
  <si>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</si>
  <si>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</si>
  <si>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</si>
  <si>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</si>
  <si>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</si>
  <si>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</si>
  <si>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</si>
  <si>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</si>
  <si>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</si>
  <si>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</si>
  <si>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</si>
  <si>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</si>
  <si>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</si>
  <si>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</si>
  <si>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</si>
  <si>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</si>
  <si>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</si>
  <si>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</si>
  <si>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</si>
  <si>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</si>
  <si>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</si>
  <si>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</si>
  <si>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</si>
  <si>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</si>
  <si>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</si>
  <si>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</si>
  <si>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</si>
  <si>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</si>
  <si>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</si>
  <si>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</si>
  <si>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</si>
  <si>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</si>
  <si>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</si>
  <si>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</si>
  <si>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</si>
  <si>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</si>
  <si>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</si>
  <si>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</si>
  <si>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</si>
  <si>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</si>
  <si>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</si>
  <si>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</si>
  <si>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</si>
  <si>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</si>
  <si>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</si>
  <si>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</si>
  <si>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</si>
  <si>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</si>
  <si>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</si>
  <si>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</si>
  <si>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</si>
  <si>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</si>
  <si>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</si>
  <si>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</si>
  <si>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</si>
  <si>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</si>
  <si>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</si>
  <si>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</si>
  <si>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</si>
  <si>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</si>
  <si>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</si>
  <si>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</si>
  <si>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</si>
  <si>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</si>
  <si>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</si>
  <si>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</si>
  <si>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</si>
  <si>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</si>
  <si>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</si>
  <si>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</si>
  <si>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</si>
  <si>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</si>
  <si>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</si>
  <si>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</si>
  <si>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</si>
  <si>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</si>
  <si>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</si>
  <si>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</si>
  <si>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</si>
  <si>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</si>
  <si>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</si>
  <si>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</si>
  <si>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</si>
  <si>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</si>
  <si>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</si>
  <si>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</si>
  <si>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</si>
  <si>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</si>
  <si>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</si>
  <si>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</si>
  <si>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</si>
  <si>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</si>
  <si>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</si>
  <si>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</si>
  <si>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</si>
  <si>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</si>
  <si>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</si>
  <si>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</si>
  <si>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</si>
  <si>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</si>
  <si>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</si>
  <si>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</si>
  <si>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</si>
  <si>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</si>
  <si>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</si>
  <si>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</si>
  <si>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</si>
  <si>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</si>
  <si>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</si>
  <si>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</si>
  <si>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</si>
  <si>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</si>
  <si>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</si>
  <si>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</si>
  <si>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</si>
  <si>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</si>
  <si>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</si>
  <si>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</si>
  <si>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</si>
  <si>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</si>
  <si>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</si>
  <si>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</si>
  <si>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</si>
  <si>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</si>
  <si>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</si>
  <si>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</si>
  <si>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</si>
  <si>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</si>
  <si>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</si>
  <si>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</si>
  <si>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</si>
  <si>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</si>
  <si>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</si>
  <si>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</si>
  <si>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</si>
  <si>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</si>
  <si>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</si>
  <si>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</si>
  <si>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</si>
  <si>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</si>
  <si>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</si>
  <si>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</si>
  <si>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</si>
  <si>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</si>
  <si>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</si>
  <si>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</si>
  <si>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</si>
  <si>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</si>
  <si>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</si>
  <si>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</si>
  <si>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</si>
  <si>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</si>
  <si>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</si>
  <si>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</si>
  <si>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</si>
  <si>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</si>
  <si>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</si>
  <si>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</si>
  <si>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</si>
  <si>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</si>
  <si>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</si>
  <si>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</si>
  <si>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</si>
  <si>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</si>
  <si>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</si>
  <si>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</si>
  <si>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</si>
  <si>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</si>
  <si>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</si>
  <si>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</si>
  <si>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</si>
  <si>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</si>
  <si>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</si>
  <si>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</si>
  <si>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</si>
  <si>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</si>
  <si>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</si>
  <si>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</si>
  <si>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</si>
  <si>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</si>
  <si>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</si>
  <si>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</si>
  <si>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</si>
  <si>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</si>
  <si>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</si>
  <si>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</si>
  <si>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</si>
  <si>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</si>
  <si>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</si>
  <si>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</si>
  <si>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</si>
  <si>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</si>
  <si>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</si>
  <si>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</si>
  <si>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</si>
  <si>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</si>
  <si>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</si>
  <si>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</si>
  <si>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</si>
  <si>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</si>
  <si>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</si>
  <si>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</si>
  <si>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</si>
  <si>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</si>
  <si>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</si>
  <si>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</si>
  <si>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</si>
  <si>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</si>
  <si>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</si>
  <si>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</si>
  <si>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</si>
  <si>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</si>
  <si>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</si>
  <si>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</si>
  <si>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</si>
  <si>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</si>
  <si>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</si>
  <si>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</si>
  <si>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</si>
  <si>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</si>
  <si>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</si>
  <si>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</si>
  <si>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</si>
  <si>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</si>
  <si>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</si>
  <si>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</si>
  <si>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</si>
  <si>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</si>
  <si>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</si>
  <si>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</si>
  <si>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</si>
  <si>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</si>
  <si>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</si>
  <si>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</si>
  <si>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</si>
  <si>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</si>
  <si>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</si>
  <si>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</si>
  <si>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</si>
  <si>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</si>
  <si>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</si>
  <si>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</si>
  <si>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</si>
  <si>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</si>
  <si>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</si>
  <si>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</si>
  <si>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</si>
  <si>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</si>
  <si>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</si>
  <si>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</si>
  <si>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</si>
  <si>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</si>
  <si>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</si>
  <si>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</si>
  <si>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</si>
  <si>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</si>
  <si>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</si>
  <si>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</si>
  <si>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</si>
  <si>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</si>
  <si>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</si>
  <si>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</si>
  <si>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</si>
  <si>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</si>
  <si>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</si>
  <si>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</si>
  <si>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</si>
  <si>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</si>
  <si>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</si>
  <si>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</si>
  <si>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</si>
  <si>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</si>
  <si>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</si>
  <si>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</si>
  <si>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</si>
  <si>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</si>
  <si>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</si>
  <si>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</si>
  <si>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</si>
  <si>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</si>
  <si>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</si>
  <si>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</si>
  <si>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</si>
  <si>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</si>
  <si>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</si>
  <si>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</si>
  <si>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</si>
  <si>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</si>
  <si>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</si>
  <si>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</si>
  <si>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</si>
  <si>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</si>
  <si>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</si>
  <si>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</si>
  <si>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</si>
  <si>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</si>
  <si>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</si>
  <si>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</si>
  <si>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</si>
  <si>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</si>
  <si>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</si>
  <si>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</si>
  <si>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</si>
  <si>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</si>
  <si>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</si>
  <si>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</si>
  <si>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</si>
  <si>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</si>
  <si>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</si>
  <si>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</si>
  <si>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</si>
  <si>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</si>
  <si>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</si>
  <si>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</si>
  <si>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</si>
  <si>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</si>
  <si>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</si>
  <si>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</si>
  <si>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</si>
  <si>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</si>
  <si>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</si>
  <si>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</si>
  <si>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</si>
  <si>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</si>
  <si>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</si>
  <si>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</si>
  <si>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</si>
  <si>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</si>
  <si>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</si>
  <si>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</si>
  <si>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</si>
  <si>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</si>
  <si>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</si>
  <si>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</si>
  <si>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</si>
  <si>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</si>
  <si>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</si>
  <si>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</si>
  <si>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</si>
  <si>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</si>
  <si>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</si>
  <si>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</si>
  <si>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</si>
  <si>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</si>
  <si>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</si>
  <si>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</si>
  <si>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</si>
  <si>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</si>
  <si>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</si>
  <si>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</si>
  <si>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</si>
  <si>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</si>
  <si>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</si>
  <si>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</si>
  <si>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</si>
  <si>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</si>
  <si>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</si>
  <si>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</si>
  <si>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</si>
  <si>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</si>
  <si>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</si>
  <si>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</si>
  <si>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</si>
  <si>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</si>
  <si>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</si>
  <si>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</si>
  <si>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</si>
  <si>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</si>
  <si>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</si>
  <si>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</si>
  <si>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</si>
  <si>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</si>
  <si>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</si>
  <si>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</si>
  <si>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</si>
  <si>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</si>
  <si>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</si>
  <si>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</si>
  <si>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</si>
  <si>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</si>
  <si>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</si>
  <si>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</si>
  <si>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</si>
  <si>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</si>
  <si>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</si>
  <si>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</si>
  <si>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</si>
  <si>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</si>
  <si>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</si>
  <si>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</si>
  <si>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</si>
  <si>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</si>
  <si>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</si>
  <si>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</si>
  <si>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</si>
  <si>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</si>
  <si>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</si>
  <si>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</si>
  <si>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</si>
  <si>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</si>
  <si>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</si>
  <si>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</si>
  <si>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</si>
  <si>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</si>
  <si>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</si>
  <si>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</si>
  <si>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</si>
  <si>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</si>
  <si>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</si>
  <si>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</si>
  <si>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</si>
  <si>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</si>
  <si>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</si>
  <si>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</si>
  <si>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</si>
  <si>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</si>
  <si>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</si>
  <si>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</si>
  <si>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</si>
  <si>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</si>
  <si>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</si>
  <si>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</si>
  <si>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</si>
  <si>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</si>
  <si>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</si>
  <si>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</si>
  <si>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</si>
  <si>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</si>
  <si>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</si>
  <si>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</si>
  <si>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</si>
  <si>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</si>
  <si>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</si>
  <si>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</si>
  <si>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</si>
  <si>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</si>
  <si>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</si>
  <si>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</si>
  <si>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</si>
  <si>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</si>
  <si>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</si>
  <si>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</si>
  <si>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</si>
  <si>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</si>
  <si>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</si>
  <si>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</si>
  <si>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</si>
  <si>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</si>
  <si>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</si>
  <si>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</si>
  <si>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</si>
  <si>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</si>
  <si>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</si>
  <si>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</si>
  <si>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</si>
  <si>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</si>
  <si>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</si>
  <si>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</si>
  <si>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</si>
  <si>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</si>
  <si>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</si>
  <si>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</si>
  <si>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</si>
  <si>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</si>
  <si>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</si>
  <si>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</si>
  <si>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</si>
  <si>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</si>
  <si>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</si>
  <si>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</si>
  <si>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</si>
  <si>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</si>
  <si>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</si>
  <si>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</si>
  <si>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</si>
  <si>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</si>
  <si>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</si>
  <si>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</si>
  <si>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</si>
  <si>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</si>
  <si>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</si>
  <si>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</si>
  <si>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</si>
  <si>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</si>
  <si>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</si>
  <si>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</si>
  <si>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</si>
  <si>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</si>
  <si>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</si>
  <si>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</si>
  <si>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</si>
  <si>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</si>
  <si>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</si>
  <si>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</si>
  <si>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</si>
  <si>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</si>
  <si>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</si>
  <si>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</si>
  <si>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</si>
  <si>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</si>
  <si>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</si>
  <si>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</si>
  <si>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</si>
  <si>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</si>
  <si>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</si>
  <si>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</si>
  <si>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</si>
  <si>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</si>
  <si>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</si>
  <si>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</si>
  <si>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</si>
  <si>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</si>
  <si>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</si>
  <si>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</si>
  <si>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</si>
  <si>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</si>
  <si>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</si>
  <si>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</si>
  <si>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</si>
  <si>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</si>
  <si>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</si>
  <si>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</si>
  <si>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</si>
  <si>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</si>
  <si>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</si>
  <si>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</si>
  <si>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</si>
  <si>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</si>
  <si>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</si>
  <si>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</si>
  <si>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</si>
  <si>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</si>
  <si>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</si>
  <si>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</si>
  <si>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</si>
  <si>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</si>
  <si>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</si>
  <si>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</si>
  <si>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</si>
  <si>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</si>
  <si>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</si>
  <si>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</si>
  <si>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</si>
  <si>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</si>
  <si>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</si>
  <si>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</si>
  <si>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</si>
  <si>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</si>
  <si>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</si>
  <si>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</si>
  <si>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</si>
  <si>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</si>
  <si>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</si>
  <si>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</si>
  <si>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</si>
  <si>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</si>
  <si>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</si>
  <si>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</si>
  <si>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</si>
  <si>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</si>
  <si>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</si>
  <si>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</si>
  <si>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</si>
  <si>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</si>
  <si>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</si>
  <si>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</si>
  <si>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</si>
  <si>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</si>
  <si>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</si>
  <si>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</si>
  <si>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</si>
  <si>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</si>
  <si>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</si>
  <si>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</si>
  <si>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</si>
  <si>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</si>
  <si>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</si>
  <si>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</si>
  <si>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</si>
  <si>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</si>
  <si>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</si>
  <si>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</si>
  <si>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</si>
  <si>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</si>
  <si>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</si>
  <si>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</si>
  <si>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</si>
  <si>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</si>
  <si>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</si>
  <si>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</si>
  <si>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</si>
  <si>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</si>
  <si>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</si>
  <si>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</si>
  <si>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</si>
  <si>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</si>
  <si>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</si>
  <si>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</si>
  <si>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</si>
  <si>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</si>
  <si>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</si>
  <si>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</si>
  <si>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</si>
  <si>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</si>
  <si>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</si>
  <si>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</si>
  <si>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</si>
  <si>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</si>
  <si>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</si>
  <si>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</si>
  <si>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</si>
  <si>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</si>
  <si>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</si>
  <si>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</si>
  <si>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</si>
  <si>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</si>
  <si>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</si>
  <si>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</si>
  <si>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</si>
  <si>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</si>
  <si>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</si>
  <si>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</si>
  <si>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</si>
  <si>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</si>
  <si>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</si>
  <si>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</si>
  <si>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</si>
  <si>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</si>
  <si>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</si>
  <si>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</si>
  <si>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</si>
  <si>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</si>
  <si>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</si>
  <si>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</si>
  <si>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</si>
  <si>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</si>
  <si>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</si>
  <si>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</si>
  <si>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</si>
  <si>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</si>
  <si>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</si>
  <si>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</si>
  <si>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</si>
  <si>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</si>
  <si>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</si>
  <si>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</si>
  <si>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</si>
  <si>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</si>
  <si>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</si>
  <si>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</si>
  <si>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</si>
  <si>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</si>
  <si>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</si>
  <si>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</si>
  <si>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</si>
  <si>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</si>
  <si>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</si>
  <si>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</si>
  <si>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</si>
  <si>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</si>
  <si>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</si>
  <si>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</si>
  <si>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</si>
  <si>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</si>
  <si>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</si>
  <si>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</si>
  <si>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</si>
  <si>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</si>
  <si>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</si>
  <si>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</si>
  <si>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</si>
  <si>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</si>
  <si>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</si>
  <si>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</si>
  <si>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</si>
  <si>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</si>
  <si>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</si>
  <si>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</si>
  <si>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</si>
  <si>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</si>
  <si>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</si>
  <si>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</si>
  <si>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</si>
  <si>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</si>
  <si>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</si>
  <si>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</si>
  <si>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</si>
  <si>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</si>
  <si>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</si>
  <si>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</si>
  <si>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</si>
  <si>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</si>
  <si>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</si>
  <si>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</si>
  <si>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</si>
  <si>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</si>
  <si>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</si>
  <si>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</si>
  <si>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</si>
  <si>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</si>
  <si>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</si>
  <si>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</si>
  <si>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</si>
  <si>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</si>
  <si>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</si>
  <si>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</si>
  <si>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</si>
  <si>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</si>
  <si>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</si>
  <si>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</si>
  <si>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</si>
  <si>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</si>
  <si>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</si>
  <si>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</si>
  <si>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</si>
  <si>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</si>
  <si>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</si>
  <si>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</si>
  <si>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</si>
  <si>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</si>
  <si>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</si>
  <si>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</si>
  <si>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</si>
  <si>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</si>
  <si>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</si>
  <si>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</si>
  <si>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</si>
  <si>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</si>
  <si>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</si>
  <si>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</si>
  <si>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</si>
  <si>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</si>
  <si>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</si>
  <si>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</si>
  <si>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</si>
  <si>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</si>
  <si>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</si>
  <si>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</si>
  <si>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</si>
  <si>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</si>
  <si>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</si>
  <si>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</si>
  <si>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</si>
  <si>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</si>
  <si>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</si>
  <si>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</si>
  <si>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</si>
  <si>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</si>
  <si>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</si>
  <si>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</si>
  <si>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</si>
  <si>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</si>
  <si>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</si>
  <si>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</si>
  <si>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</si>
  <si>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</si>
  <si>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</si>
  <si>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</si>
  <si>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</si>
  <si>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</si>
  <si>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</si>
  <si>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</si>
  <si>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</si>
  <si>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</si>
  <si>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</si>
  <si>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</si>
  <si>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</si>
  <si>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</si>
  <si>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</si>
  <si>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</si>
  <si>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</si>
  <si>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</si>
  <si>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</si>
  <si>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</si>
  <si>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</si>
  <si>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</si>
  <si>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</si>
  <si>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</si>
  <si>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</si>
  <si>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</si>
  <si>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</si>
  <si>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</si>
  <si>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</si>
  <si>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</si>
  <si>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</si>
  <si>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</si>
  <si>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</si>
  <si>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</si>
  <si>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</si>
  <si>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</si>
  <si>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</si>
  <si>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</si>
  <si>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</si>
  <si>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</si>
  <si>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</si>
  <si>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</si>
  <si>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</si>
  <si>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</si>
  <si>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</si>
  <si>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</si>
  <si>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</si>
  <si>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</si>
  <si>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</si>
  <si>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</si>
  <si>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</si>
  <si>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</si>
  <si>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</si>
  <si>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</si>
  <si>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</si>
  <si>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</si>
  <si>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</si>
  <si>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</si>
  <si>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</si>
  <si>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</si>
  <si>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</si>
  <si>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</si>
  <si>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</si>
  <si>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</si>
  <si>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</si>
  <si>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</si>
  <si>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</si>
  <si>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</si>
  <si>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</si>
  <si>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</si>
  <si>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</si>
  <si>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</si>
  <si>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</si>
  <si>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</si>
  <si>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</si>
  <si>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</si>
  <si>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</si>
  <si>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</si>
  <si>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</si>
  <si>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</si>
  <si>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</si>
  <si>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</si>
  <si>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</si>
  <si>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</si>
  <si>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</si>
  <si>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</si>
  <si>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</si>
  <si>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</si>
  <si>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</si>
  <si>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</si>
  <si>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</si>
  <si>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</si>
  <si>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</si>
  <si>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</si>
  <si>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</si>
  <si>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</si>
  <si>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</si>
  <si>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</si>
  <si>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</si>
  <si>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</si>
  <si>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</si>
  <si>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</si>
  <si>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</si>
  <si>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</si>
  <si>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</si>
  <si>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</si>
  <si>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</si>
  <si>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</si>
  <si>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</si>
  <si>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</si>
  <si>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</si>
  <si>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</si>
  <si>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</si>
  <si>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</si>
  <si>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</si>
  <si>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</si>
  <si>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</si>
  <si>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</si>
  <si>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</si>
  <si>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</si>
  <si>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</si>
  <si>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</si>
  <si>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</si>
  <si>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</si>
  <si>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</si>
  <si>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</si>
  <si>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</si>
  <si>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</si>
  <si>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</si>
  <si>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</si>
  <si>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</si>
  <si>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</si>
  <si>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</si>
  <si>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</si>
  <si>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</si>
  <si>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</si>
  <si>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</si>
  <si>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</si>
  <si>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</si>
  <si>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</si>
  <si>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</si>
  <si>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</si>
  <si>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</si>
  <si>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</si>
  <si>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</si>
  <si>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</si>
  <si>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</si>
  <si>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</si>
  <si>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</si>
  <si>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</si>
  <si>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</si>
  <si>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</si>
  <si>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</si>
  <si>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</si>
  <si>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</si>
  <si>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</si>
  <si>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</si>
  <si>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</si>
  <si>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</si>
  <si>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</si>
  <si>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</si>
  <si>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</si>
  <si>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</si>
  <si>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</si>
  <si>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</si>
  <si>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</si>
  <si>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</si>
  <si>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</si>
  <si>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</si>
  <si>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</si>
  <si>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</si>
  <si>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</si>
  <si>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</si>
  <si>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</si>
  <si>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</si>
  <si>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</si>
  <si>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</si>
  <si>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</si>
  <si>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</si>
  <si>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</si>
  <si>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</si>
  <si>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</si>
  <si>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</si>
  <si>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</si>
  <si>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</si>
  <si>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</si>
  <si>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</si>
  <si>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</si>
  <si>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</si>
  <si>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</si>
  <si>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</si>
  <si>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</si>
  <si>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</si>
  <si>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</si>
  <si>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</si>
  <si>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</si>
  <si>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</si>
  <si>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</si>
  <si>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</si>
  <si>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</si>
  <si>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</si>
  <si>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</si>
  <si>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</si>
  <si>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</si>
  <si>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</si>
  <si>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</si>
  <si>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</si>
  <si>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</si>
  <si>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</si>
  <si>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</si>
  <si>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</si>
  <si>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</si>
  <si>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</si>
  <si>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</si>
  <si>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</si>
  <si>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</si>
  <si>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</si>
  <si>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</si>
  <si>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</si>
  <si>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</si>
  <si>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</si>
  <si>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</si>
  <si>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</si>
  <si>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</si>
  <si>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</si>
  <si>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</si>
  <si>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</si>
  <si>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</si>
  <si>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</si>
  <si>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</si>
  <si>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</si>
  <si>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</si>
  <si>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</si>
  <si>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</si>
  <si>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</si>
  <si>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</si>
  <si>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</si>
  <si>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</si>
  <si>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</si>
  <si>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</si>
  <si>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</si>
  <si>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</si>
  <si>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</si>
  <si>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</si>
  <si>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</si>
  <si>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</si>
  <si>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</si>
  <si>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</si>
  <si>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</si>
  <si>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</si>
  <si>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</si>
  <si>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</si>
  <si>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</si>
  <si>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</si>
  <si>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</si>
  <si>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</si>
  <si>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</si>
  <si>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</si>
  <si>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</si>
  <si>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</si>
  <si>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</si>
  <si>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</si>
  <si>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</si>
  <si>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</si>
  <si>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</si>
  <si>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</si>
  <si>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</si>
  <si>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</si>
  <si>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</si>
  <si>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</si>
  <si>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</si>
  <si>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</si>
  <si>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</si>
  <si>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</si>
  <si>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</si>
  <si>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</si>
  <si>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</si>
  <si>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</si>
  <si>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</si>
  <si>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</si>
  <si>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</si>
  <si>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</si>
  <si>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</si>
  <si>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</si>
  <si>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</si>
  <si>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</si>
  <si>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</si>
  <si>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</si>
  <si>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</si>
  <si>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</si>
  <si>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</si>
  <si>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</si>
  <si>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</si>
  <si>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</si>
  <si>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</si>
  <si>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</si>
  <si>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</si>
  <si>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</si>
  <si>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</si>
  <si>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</si>
  <si>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</si>
  <si>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</si>
  <si>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</si>
  <si>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</si>
  <si>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</si>
  <si>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</si>
  <si>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</si>
  <si>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</si>
  <si>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</si>
  <si>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</si>
  <si>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</si>
  <si>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</si>
  <si>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</si>
  <si>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</si>
  <si>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</si>
  <si>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</si>
  <si>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</si>
  <si>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</si>
  <si>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</si>
  <si>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</si>
  <si>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</si>
  <si>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</si>
  <si>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</si>
  <si>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</si>
  <si>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</si>
  <si>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</si>
  <si>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</si>
  <si>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</si>
  <si>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</si>
  <si>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</si>
  <si>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</si>
  <si>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</si>
  <si>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</si>
  <si>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</si>
  <si>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</si>
  <si>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</si>
  <si>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</si>
  <si>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</si>
  <si>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</si>
  <si>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</si>
  <si>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</si>
  <si>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</si>
  <si>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</si>
  <si>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</si>
  <si>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</si>
  <si>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</si>
  <si>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</si>
  <si>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</si>
  <si>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</si>
  <si>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</si>
  <si>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</si>
  <si>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</si>
  <si>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</si>
  <si>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</si>
  <si>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</si>
  <si>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</si>
  <si>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</si>
  <si>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</si>
  <si>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</si>
  <si>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</si>
  <si>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</si>
  <si>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</si>
  <si>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</si>
  <si>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</si>
  <si>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</si>
  <si>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</si>
  <si>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</si>
  <si>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</si>
  <si>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</si>
  <si>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</si>
  <si>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</si>
  <si>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</si>
  <si>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</si>
  <si>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</si>
  <si>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</si>
  <si>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</si>
  <si>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</si>
  <si>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</si>
  <si>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</si>
  <si>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</si>
  <si>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</si>
  <si>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</si>
  <si>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</si>
  <si>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</si>
  <si>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</si>
  <si>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</si>
  <si>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</si>
  <si>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</si>
  <si>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</si>
  <si>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</si>
  <si>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</si>
  <si>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</si>
  <si>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</si>
  <si>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</si>
  <si>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</si>
  <si>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</si>
  <si>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</si>
  <si>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</si>
  <si>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</si>
  <si>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</si>
  <si>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</si>
  <si>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</si>
  <si>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</si>
  <si>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</si>
  <si>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</si>
  <si>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</si>
  <si>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</si>
  <si>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</si>
  <si>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</si>
  <si>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</si>
  <si>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</si>
  <si>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</si>
  <si>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</si>
  <si>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</si>
  <si>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</si>
  <si>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</si>
  <si>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</si>
  <si>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</si>
  <si>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</si>
  <si>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</si>
  <si>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</si>
  <si>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</si>
  <si>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</si>
  <si>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</si>
  <si>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</si>
  <si>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</si>
  <si>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</si>
  <si>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</si>
  <si>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</si>
  <si>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</si>
  <si>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</si>
  <si>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</si>
  <si>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</si>
  <si>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</si>
  <si>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</si>
  <si>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</si>
  <si>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</si>
  <si>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</si>
  <si>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</si>
  <si>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</si>
  <si>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</si>
  <si>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</si>
  <si>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</si>
  <si>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</si>
  <si>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</si>
  <si>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</si>
  <si>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</si>
  <si>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</si>
  <si>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</si>
  <si>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</si>
  <si>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</si>
  <si>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</si>
  <si>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</si>
  <si>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</si>
  <si>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</si>
  <si>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</si>
  <si>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</si>
  <si>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</si>
  <si>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</si>
  <si>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</si>
  <si>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</si>
  <si>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</si>
  <si>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</si>
  <si>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</si>
  <si>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</si>
  <si>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</si>
  <si>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</si>
  <si>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</si>
  <si>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</si>
  <si>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</si>
  <si>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</si>
  <si>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</si>
  <si>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</si>
  <si>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</si>
  <si>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</si>
  <si>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</si>
  <si>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</si>
  <si>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</si>
  <si>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</si>
  <si>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</si>
  <si>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</si>
  <si>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</si>
  <si>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</si>
  <si>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</si>
  <si>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</si>
  <si>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</si>
  <si>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</si>
  <si>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</si>
  <si>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</si>
  <si>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</si>
  <si>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</si>
  <si>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</si>
  <si>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</si>
  <si>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</si>
  <si>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</si>
  <si>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</si>
  <si>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</si>
  <si>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</si>
  <si>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</si>
  <si>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</si>
  <si>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</si>
  <si>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</si>
  <si>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</si>
  <si>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</si>
  <si>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</si>
  <si>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</si>
  <si>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</si>
  <si>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</si>
  <si>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</si>
  <si>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</si>
  <si>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</si>
  <si>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</si>
  <si>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</si>
  <si>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</si>
  <si>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</si>
  <si>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</si>
  <si>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</si>
  <si>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</si>
  <si>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</si>
  <si>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</si>
  <si>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</si>
  <si>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</si>
  <si>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</si>
  <si>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</si>
  <si>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</si>
  <si>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</si>
  <si>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</si>
  <si>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</si>
  <si>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</si>
  <si>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</si>
  <si>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</si>
  <si>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</si>
  <si>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</si>
  <si>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</si>
  <si>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</si>
  <si>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</si>
  <si>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</si>
  <si>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</si>
  <si>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</si>
  <si>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</si>
  <si>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</si>
  <si>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</si>
  <si>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</si>
  <si>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</si>
  <si>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</si>
  <si>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</si>
  <si>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</si>
  <si>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</si>
  <si>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</si>
  <si>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</si>
  <si>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</si>
  <si>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</si>
  <si>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</si>
  <si>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</si>
  <si>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</si>
  <si>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</si>
  <si>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</si>
  <si>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</si>
  <si>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</si>
  <si>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</si>
  <si>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</si>
  <si>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</si>
  <si>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</si>
  <si>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</si>
  <si>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</si>
  <si>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</si>
  <si>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</si>
  <si>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</si>
  <si>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</si>
  <si>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</si>
  <si>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</si>
  <si>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</si>
  <si>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</si>
  <si>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</si>
  <si>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</si>
  <si>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</si>
  <si>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</si>
  <si>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</si>
  <si>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</si>
  <si>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</si>
  <si>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</si>
  <si>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</si>
  <si>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</si>
  <si>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</si>
  <si>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</si>
  <si>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</si>
  <si>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</si>
  <si>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</si>
  <si>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</si>
  <si>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</si>
  <si>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</si>
  <si>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</si>
  <si>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</si>
  <si>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</si>
  <si>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</si>
  <si>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</si>
  <si>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</si>
  <si>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</si>
  <si>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</si>
  <si>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</si>
  <si>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</si>
  <si>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</si>
  <si>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</si>
  <si>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</si>
  <si>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</si>
  <si>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</si>
  <si>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</si>
  <si>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</si>
  <si>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</si>
  <si>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</si>
  <si>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</si>
  <si>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</si>
  <si>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</si>
  <si>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</si>
  <si>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</si>
  <si>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</si>
  <si>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</si>
  <si>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</si>
  <si>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</si>
  <si>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</si>
  <si>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</si>
  <si>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</si>
  <si>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</si>
  <si>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</si>
  <si>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</si>
  <si>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</si>
  <si>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</si>
  <si>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</si>
  <si>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</si>
  <si>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</si>
  <si>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</si>
  <si>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</si>
  <si>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</si>
  <si>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</si>
  <si>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</si>
  <si>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</si>
  <si>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</si>
  <si>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</si>
  <si>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</si>
  <si>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</si>
  <si>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</si>
  <si>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</si>
  <si>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</si>
  <si>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</si>
  <si>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</si>
  <si>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</si>
  <si>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</si>
  <si>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</si>
  <si>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</si>
  <si>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</si>
  <si>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</si>
  <si>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</si>
  <si>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</si>
  <si>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</si>
  <si>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</si>
  <si>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</si>
  <si>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</si>
  <si>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</si>
  <si>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</si>
  <si>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</si>
  <si>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</si>
  <si>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</si>
  <si>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</si>
  <si>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</si>
  <si>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</si>
  <si>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</si>
  <si>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</si>
  <si>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</si>
  <si>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</si>
  <si>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</si>
  <si>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</si>
  <si>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</si>
  <si>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</si>
  <si>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</si>
  <si>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</si>
  <si>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</si>
  <si>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</si>
  <si>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</si>
  <si>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</si>
  <si>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</si>
  <si>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</si>
  <si>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</si>
  <si>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</si>
  <si>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</si>
  <si>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</si>
  <si>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</si>
  <si>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</si>
  <si>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</si>
  <si>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</si>
  <si>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</si>
  <si>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</si>
  <si>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</si>
  <si>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</si>
  <si>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</si>
  <si>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</si>
  <si>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</si>
  <si>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</si>
  <si>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</si>
  <si>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</si>
  <si>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</si>
  <si>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</si>
  <si>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</si>
  <si>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</si>
  <si>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</si>
  <si>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</si>
  <si>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</si>
  <si>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</si>
  <si>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</si>
  <si>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</si>
  <si>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</si>
  <si>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</si>
  <si>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</si>
  <si>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</si>
  <si>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</si>
  <si>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</si>
  <si>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</si>
  <si>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</si>
  <si>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</si>
  <si>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</si>
  <si>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</si>
  <si>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</si>
  <si>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</si>
  <si>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</si>
  <si>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</si>
  <si>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</si>
  <si>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</si>
  <si>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</si>
  <si>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</si>
  <si>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</si>
  <si>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</si>
  <si>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</si>
  <si>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</si>
  <si>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</si>
  <si>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</si>
  <si>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</si>
  <si>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</si>
  <si>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</si>
  <si>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</si>
  <si>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</si>
  <si>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</si>
  <si>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</si>
  <si>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</si>
  <si>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</si>
  <si>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</si>
  <si>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</si>
  <si>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</si>
  <si>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</si>
  <si>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</si>
  <si>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</si>
  <si>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</si>
  <si>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</si>
  <si>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</si>
  <si>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</si>
  <si>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</si>
  <si>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</si>
  <si>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</si>
  <si>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</si>
  <si>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</si>
  <si>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</si>
  <si>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</si>
  <si>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</si>
  <si>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</si>
  <si>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</si>
  <si>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</si>
  <si>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</si>
  <si>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</si>
  <si>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</si>
  <si>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</si>
  <si>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</si>
  <si>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</si>
  <si>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</si>
  <si>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</si>
  <si>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</si>
  <si>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</si>
  <si>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</si>
  <si>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</si>
  <si>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</si>
  <si>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</si>
  <si>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</si>
  <si>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</si>
  <si>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</si>
  <si>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</si>
  <si>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</si>
  <si>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</si>
  <si>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</si>
  <si>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</si>
  <si>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</si>
  <si>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</si>
  <si>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</si>
  <si>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</si>
  <si>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</si>
  <si>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</si>
  <si>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</si>
  <si>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</si>
  <si>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</si>
  <si>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</si>
  <si>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</si>
  <si>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</si>
  <si>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</si>
  <si>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</si>
  <si>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</si>
  <si>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</si>
  <si>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</si>
  <si>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</si>
  <si>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</si>
  <si>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</si>
  <si>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</si>
  <si>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</si>
  <si>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</si>
  <si>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</si>
  <si>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</si>
  <si>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</si>
  <si>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</si>
  <si>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</si>
  <si>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</si>
  <si>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</si>
  <si>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</si>
  <si>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</si>
  <si>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</si>
  <si>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</si>
  <si>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</si>
  <si>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</si>
  <si>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</si>
  <si>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</si>
  <si>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</si>
  <si>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</si>
  <si>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</si>
  <si>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</si>
  <si>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</si>
  <si>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</si>
  <si>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</si>
  <si>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</si>
  <si>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</si>
  <si>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</si>
  <si>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</si>
  <si>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</si>
  <si>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</si>
  <si>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</si>
  <si>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</si>
  <si>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</si>
  <si>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</si>
  <si>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</si>
  <si>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</si>
  <si>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</si>
  <si>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</si>
  <si>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</si>
  <si>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</si>
  <si>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</si>
  <si>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</si>
  <si>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</si>
  <si>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</si>
  <si>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</si>
  <si>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</si>
  <si>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</si>
  <si>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</si>
  <si>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</si>
  <si>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</si>
  <si>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</si>
  <si>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</si>
  <si>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</si>
  <si>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</si>
  <si>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</si>
  <si>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</si>
  <si>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</si>
  <si>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</si>
  <si>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</si>
  <si>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</si>
  <si>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</si>
  <si>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</si>
  <si>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</si>
  <si>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</si>
  <si>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</si>
  <si>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</si>
  <si>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</si>
  <si>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</si>
  <si>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</si>
  <si>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</si>
  <si>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</si>
  <si>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</si>
  <si>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</si>
  <si>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</si>
  <si>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</si>
  <si>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</si>
  <si>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</si>
  <si>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</si>
  <si>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</si>
  <si>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</si>
  <si>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</si>
  <si>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</si>
  <si>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</si>
  <si>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</si>
  <si>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</si>
  <si>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</si>
  <si>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</si>
  <si>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</si>
  <si>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</si>
  <si>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</si>
  <si>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</si>
  <si>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</si>
  <si>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</si>
  <si>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</si>
  <si>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</si>
  <si>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</si>
  <si>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</si>
  <si>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</si>
  <si>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</si>
  <si>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</si>
  <si>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</si>
  <si>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</si>
  <si>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</si>
  <si>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</si>
  <si>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</si>
  <si>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</si>
  <si>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</si>
  <si>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</si>
  <si>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</si>
  <si>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</si>
  <si>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</si>
  <si>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</si>
  <si>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</si>
  <si>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</si>
  <si>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</si>
  <si>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</si>
  <si>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</si>
  <si>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</si>
  <si>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</si>
  <si>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</si>
  <si>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</si>
  <si>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</si>
  <si>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</si>
  <si>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</si>
  <si>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</si>
  <si>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</si>
  <si>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</si>
  <si>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</si>
  <si>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</si>
  <si>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</si>
  <si>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</si>
  <si>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</si>
  <si>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</si>
  <si>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</si>
  <si>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</si>
  <si>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</si>
  <si>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</si>
  <si>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</si>
  <si>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</si>
  <si>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</si>
  <si>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</si>
  <si>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</si>
  <si>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</si>
  <si>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</si>
  <si>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</si>
  <si>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</si>
  <si>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</si>
  <si>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</si>
  <si>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</si>
  <si>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</si>
  <si>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</si>
  <si>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</si>
  <si>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</si>
  <si>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</si>
  <si>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</si>
  <si>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</si>
  <si>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</si>
  <si>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</si>
  <si>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</si>
  <si>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</si>
  <si>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</si>
  <si>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</si>
  <si>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</si>
  <si>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</si>
  <si>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</si>
  <si>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</si>
  <si>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</si>
  <si>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</si>
  <si>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</si>
  <si>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</si>
  <si>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</si>
  <si>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</si>
  <si>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</si>
  <si>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</si>
  <si>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</si>
  <si>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</si>
  <si>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</si>
  <si>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</si>
  <si>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</si>
  <si>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</si>
  <si>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</si>
  <si>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</si>
  <si>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</si>
  <si>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</si>
  <si>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</si>
  <si>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</si>
  <si>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</si>
  <si>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</si>
  <si>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</si>
  <si>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</si>
  <si>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</si>
  <si>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</si>
  <si>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</si>
  <si>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</si>
  <si>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</si>
  <si>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</si>
  <si>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</si>
  <si>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</si>
  <si>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</si>
  <si>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</si>
  <si>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</si>
  <si>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</si>
  <si>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</si>
  <si>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</si>
  <si>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</si>
  <si>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</si>
  <si>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</si>
  <si>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</si>
  <si>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</si>
  <si>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</si>
  <si>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</si>
  <si>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</si>
  <si>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</si>
  <si>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</si>
  <si>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</si>
  <si>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</si>
  <si>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</si>
  <si>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</si>
  <si>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</si>
  <si>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</si>
  <si>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</si>
  <si>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</si>
  <si>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</si>
  <si>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</si>
  <si>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</si>
  <si>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</si>
  <si>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</si>
  <si>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</si>
  <si>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</si>
  <si>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</si>
  <si>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</si>
  <si>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</si>
  <si>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</si>
  <si>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</si>
  <si>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</si>
  <si>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</si>
  <si>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</si>
  <si>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</si>
  <si>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</si>
  <si>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</si>
  <si>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</si>
  <si>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</si>
  <si>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</si>
  <si>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</si>
  <si>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</si>
  <si>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</si>
  <si>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</si>
  <si>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</si>
  <si>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</si>
  <si>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</si>
  <si>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</si>
  <si>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</si>
  <si>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</si>
  <si>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</si>
  <si>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</si>
  <si>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</si>
  <si>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</si>
  <si>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</si>
  <si>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</si>
  <si>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</si>
  <si>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</si>
  <si>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</si>
  <si>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</si>
  <si>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</si>
  <si>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</si>
  <si>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</si>
  <si>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</si>
  <si>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</si>
  <si>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</si>
  <si>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</si>
  <si>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</si>
  <si>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</si>
  <si>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</si>
  <si>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</si>
  <si>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</si>
  <si>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</si>
  <si>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</si>
  <si>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</si>
  <si>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</si>
  <si>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</si>
  <si>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</si>
  <si>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</si>
  <si>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</si>
  <si>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</si>
  <si>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</si>
  <si>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</si>
  <si>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</si>
  <si>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</si>
  <si>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</si>
  <si>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</si>
  <si>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</si>
  <si>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</si>
  <si>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</si>
  <si>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</si>
  <si>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</si>
  <si>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</si>
  <si>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</si>
  <si>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</si>
  <si>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</si>
  <si>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</si>
  <si>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</si>
  <si>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</si>
  <si>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</si>
  <si>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</si>
  <si>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</si>
  <si>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</si>
  <si>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</si>
  <si>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</si>
  <si>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</si>
  <si>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</si>
  <si>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</si>
  <si>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</si>
  <si>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</si>
  <si>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</si>
  <si>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</si>
  <si>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</si>
  <si>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</si>
  <si>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</si>
  <si>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</si>
  <si>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</si>
  <si>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</si>
  <si>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</si>
  <si>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</si>
  <si>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</si>
  <si>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</si>
  <si>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</si>
  <si>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</si>
  <si>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</si>
  <si>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</si>
  <si>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</si>
  <si>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</si>
  <si>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</si>
  <si>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</si>
  <si>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</si>
  <si>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</si>
  <si>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</si>
  <si>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</si>
  <si>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</si>
  <si>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</si>
  <si>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</si>
  <si>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</si>
  <si>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</si>
  <si>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</si>
  <si>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</si>
  <si>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</si>
  <si>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</si>
  <si>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</si>
  <si>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</si>
  <si>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</si>
  <si>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</si>
  <si>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</si>
  <si>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</si>
  <si>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</si>
  <si>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</si>
  <si>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</si>
  <si>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</si>
  <si>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</si>
  <si>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</si>
  <si>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</si>
  <si>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</si>
  <si>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</si>
  <si>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</si>
  <si>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</si>
  <si>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</si>
  <si>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</si>
  <si>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</si>
  <si>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</si>
  <si>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</si>
  <si>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</si>
  <si>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</si>
  <si>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</si>
  <si>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</si>
  <si>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</si>
  <si>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</si>
  <si>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</si>
  <si>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</si>
  <si>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</si>
  <si>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</si>
  <si>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</si>
  <si>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</si>
  <si>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</si>
  <si>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</si>
  <si>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</si>
  <si>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</si>
  <si>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</si>
  <si>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</si>
  <si>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</si>
  <si>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</si>
  <si>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</si>
  <si>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</si>
  <si>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</si>
  <si>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</si>
  <si>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</si>
  <si>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</si>
  <si>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</si>
  <si>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</si>
  <si>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</si>
  <si>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</si>
  <si>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</si>
  <si>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</si>
  <si>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</si>
  <si>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</si>
  <si>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</si>
  <si>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</si>
  <si>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</si>
  <si>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</si>
  <si>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</si>
  <si>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</si>
  <si>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</si>
  <si>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</si>
  <si>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</si>
  <si>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</si>
  <si>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</si>
  <si>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</si>
  <si>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</si>
  <si>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</si>
  <si>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</si>
  <si>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</si>
  <si>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</si>
  <si>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</si>
  <si>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</si>
  <si>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</si>
  <si>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</si>
  <si>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</si>
  <si>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</si>
  <si>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</si>
  <si>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</si>
  <si>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</si>
  <si>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</si>
  <si>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</si>
  <si>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</si>
  <si>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</si>
  <si>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</si>
  <si>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</si>
  <si>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</si>
  <si>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</si>
  <si>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</si>
  <si>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</si>
  <si>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</si>
  <si>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</si>
  <si>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</si>
  <si>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</si>
  <si>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</si>
  <si>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</si>
  <si>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</si>
  <si>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</si>
  <si>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</si>
  <si>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</si>
  <si>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</si>
  <si>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</si>
  <si>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</si>
  <si>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</si>
  <si>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</si>
  <si>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</si>
  <si>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</si>
  <si>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</si>
  <si>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</si>
  <si>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</si>
  <si>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</si>
  <si>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</si>
  <si>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</si>
  <si>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</si>
  <si>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</si>
  <si>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</si>
  <si>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</si>
  <si>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</si>
  <si>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</si>
  <si>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</si>
  <si>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</si>
  <si>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</si>
  <si>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</si>
  <si>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</si>
  <si>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</si>
  <si>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</si>
  <si>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</si>
  <si>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</si>
  <si>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</si>
  <si>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</si>
  <si>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</si>
  <si>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</si>
  <si>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</si>
  <si>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</si>
  <si>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</si>
  <si>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</si>
  <si>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</si>
  <si>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</si>
  <si>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</si>
  <si>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</si>
  <si>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</si>
  <si>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</si>
  <si>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</si>
  <si>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</si>
  <si>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</si>
  <si>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</si>
  <si>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</si>
  <si>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</si>
  <si>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</si>
  <si>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</si>
  <si>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</si>
  <si>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</si>
  <si>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</si>
  <si>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</si>
  <si>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</si>
  <si>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</si>
  <si>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</si>
  <si>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</si>
  <si>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</si>
  <si>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</si>
  <si>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</si>
  <si>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</si>
  <si>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</si>
  <si>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</si>
  <si>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</si>
  <si>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</si>
  <si>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</si>
  <si>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</si>
  <si>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</si>
  <si>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</si>
  <si>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</si>
  <si>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</si>
  <si>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</si>
  <si>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</si>
  <si>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</si>
  <si>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</si>
  <si>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</si>
  <si>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</si>
  <si>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</si>
  <si>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</si>
  <si>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</si>
  <si>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</si>
  <si>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</si>
  <si>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</si>
  <si>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</si>
  <si>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</si>
  <si>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</si>
  <si>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</si>
  <si>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</si>
  <si>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</si>
  <si>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</si>
  <si>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</si>
  <si>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</si>
  <si>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</si>
  <si>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</si>
  <si>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</si>
  <si>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</si>
  <si>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</si>
  <si>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</si>
  <si>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</si>
  <si>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</si>
  <si>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</si>
  <si>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</si>
  <si>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</si>
  <si>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</si>
  <si>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</si>
  <si>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</si>
  <si>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</si>
  <si>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</si>
  <si>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</si>
  <si>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</si>
  <si>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</si>
  <si>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</si>
  <si>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</si>
  <si>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</si>
  <si>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</si>
  <si>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</si>
  <si>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</si>
  <si>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</si>
  <si>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</si>
  <si>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</si>
  <si>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</si>
  <si>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</si>
  <si>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</si>
  <si>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</si>
  <si>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</si>
  <si>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</si>
  <si>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</si>
  <si>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</si>
  <si>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</si>
  <si>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</si>
  <si>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</si>
  <si>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</si>
  <si>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</si>
  <si>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</si>
  <si>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</si>
  <si>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</si>
  <si>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</si>
  <si>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</si>
  <si>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</si>
  <si>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</si>
  <si>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</si>
  <si>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</si>
  <si>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</si>
  <si>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</si>
  <si>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</si>
  <si>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</si>
  <si>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</si>
  <si>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</si>
  <si>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</si>
  <si>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</si>
  <si>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</si>
  <si>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</si>
  <si>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</si>
  <si>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</si>
  <si>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</si>
  <si>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</si>
  <si>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</si>
  <si>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</si>
  <si>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</si>
  <si>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</si>
  <si>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</si>
  <si>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</si>
  <si>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</si>
  <si>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</si>
  <si>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</si>
  <si>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</si>
  <si>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</si>
  <si>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</si>
  <si>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</si>
  <si>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</si>
  <si>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</si>
  <si>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</si>
  <si>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</si>
  <si>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</si>
  <si>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</si>
  <si>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</si>
  <si>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</si>
  <si>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</si>
  <si>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</si>
  <si>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</si>
  <si>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</si>
  <si>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</si>
  <si>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</si>
  <si>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</si>
  <si>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</si>
  <si>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</si>
  <si>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</si>
  <si>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</si>
  <si>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</si>
  <si>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</si>
  <si>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</si>
  <si>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</si>
  <si>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</si>
  <si>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</si>
  <si>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</si>
  <si>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</si>
  <si>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</si>
  <si>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</si>
  <si>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</si>
  <si>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</si>
  <si>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</si>
  <si>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</si>
  <si>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</si>
  <si>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</si>
  <si>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</si>
  <si>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</si>
  <si>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</si>
  <si>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</si>
  <si>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</si>
  <si>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</si>
  <si>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</si>
  <si>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</si>
  <si>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</si>
  <si>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</si>
  <si>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</si>
  <si>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</si>
  <si>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</si>
  <si>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</si>
  <si>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</si>
  <si>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</si>
  <si>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</si>
  <si>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</si>
  <si>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</si>
  <si>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</si>
  <si>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</si>
  <si>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</si>
  <si>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</si>
  <si>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</si>
  <si>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</si>
  <si>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</si>
  <si>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</si>
  <si>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</si>
  <si>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</si>
  <si>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</si>
  <si>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</si>
  <si>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</si>
  <si>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</si>
  <si>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</si>
  <si>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</si>
  <si>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</si>
  <si>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</si>
  <si>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</si>
  <si>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</si>
  <si>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</si>
  <si>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</si>
  <si>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</si>
  <si>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</si>
  <si>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</si>
  <si>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</si>
  <si>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</si>
  <si>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</si>
  <si>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</si>
  <si>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</si>
  <si>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</si>
  <si>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</si>
  <si>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</si>
  <si>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</si>
  <si>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</si>
  <si>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</si>
  <si>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</si>
  <si>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</si>
  <si>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</si>
  <si>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</si>
  <si>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</si>
  <si>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</si>
  <si>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</si>
  <si>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</si>
  <si>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</si>
  <si>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</si>
  <si>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</si>
  <si>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</si>
  <si>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</si>
  <si>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</si>
  <si>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</si>
  <si>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</si>
  <si>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</si>
  <si>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</si>
  <si>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</si>
  <si>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</si>
  <si>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</si>
  <si>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</si>
  <si>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</si>
  <si>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</si>
  <si>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</si>
  <si>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</si>
  <si>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</si>
  <si>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</si>
  <si>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</si>
  <si>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</si>
  <si>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</si>
  <si>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</si>
  <si>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</si>
  <si>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</si>
  <si>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</si>
  <si>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</si>
  <si>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</si>
  <si>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</si>
  <si>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</si>
  <si>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</si>
  <si>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</si>
  <si>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</si>
  <si>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</si>
  <si>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</si>
  <si>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</si>
  <si>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</si>
  <si>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</si>
  <si>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</si>
  <si>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</si>
  <si>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</si>
  <si>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</si>
  <si>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</si>
  <si>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</si>
  <si>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</si>
  <si>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</si>
  <si>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</si>
  <si>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</si>
  <si>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</si>
  <si>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</si>
  <si>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</si>
  <si>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</si>
  <si>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</si>
  <si>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</si>
  <si>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</si>
  <si>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</si>
  <si>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</si>
  <si>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</si>
  <si>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</si>
  <si>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</si>
  <si>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</si>
  <si>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</si>
  <si>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</si>
  <si>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</si>
  <si>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</si>
  <si>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</si>
  <si>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</si>
  <si>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</si>
  <si>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</si>
  <si>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</si>
  <si>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</si>
  <si>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</si>
  <si>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</si>
  <si>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</si>
  <si>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</si>
  <si>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</si>
  <si>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</si>
  <si>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</si>
  <si>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</si>
  <si>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</si>
  <si>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</si>
  <si>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</si>
  <si>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</si>
  <si>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</si>
  <si>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</si>
  <si>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</si>
  <si>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</si>
  <si>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</si>
  <si>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</si>
  <si>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</si>
  <si>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</si>
  <si>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</si>
  <si>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</si>
  <si>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</si>
  <si>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</si>
  <si>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</si>
  <si>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</si>
  <si>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</si>
  <si>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</si>
  <si>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</si>
  <si>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</si>
  <si>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</si>
  <si>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</si>
  <si>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</si>
  <si>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</si>
  <si>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</si>
  <si>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</si>
  <si>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</si>
  <si>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</si>
  <si>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</si>
  <si>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</si>
  <si>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</si>
  <si>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</si>
  <si>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</si>
  <si>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</si>
  <si>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</si>
  <si>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</si>
  <si>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</si>
  <si>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</si>
  <si>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</si>
  <si>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</si>
  <si>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</si>
  <si>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</si>
  <si>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</si>
  <si>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</si>
  <si>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</si>
  <si>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</si>
  <si>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</si>
  <si>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</si>
  <si>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</si>
  <si>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</si>
  <si>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</si>
  <si>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</si>
  <si>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</si>
  <si>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</si>
  <si>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</si>
  <si>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</si>
  <si>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</si>
  <si>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</si>
  <si>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</si>
  <si>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</si>
  <si>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</si>
  <si>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</si>
  <si>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</si>
  <si>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</si>
  <si>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</si>
  <si>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</si>
  <si>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</si>
  <si>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</si>
  <si>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</si>
  <si>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</si>
  <si>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</si>
  <si>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</si>
  <si>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</si>
  <si>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</si>
  <si>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</si>
  <si>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</si>
  <si>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</si>
  <si>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</si>
  <si>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</si>
  <si>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</si>
  <si>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</si>
  <si>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</si>
  <si>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</si>
  <si>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</si>
  <si>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</si>
  <si>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</si>
  <si>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</si>
  <si>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</si>
  <si>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</si>
  <si>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</si>
  <si>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</si>
  <si>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</si>
  <si>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</si>
  <si>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</si>
  <si>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</si>
  <si>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</si>
  <si>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</si>
  <si>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</si>
  <si>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</si>
  <si>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</si>
  <si>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</si>
  <si>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</si>
  <si>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</si>
  <si>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</si>
  <si>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</si>
  <si>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</si>
  <si>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</si>
  <si>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</si>
  <si>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</si>
  <si>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</si>
  <si>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</si>
  <si>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</si>
  <si>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</si>
  <si>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</si>
  <si>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</si>
  <si>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</si>
  <si>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</si>
  <si>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</si>
  <si>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</si>
  <si>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</si>
  <si>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</si>
  <si>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</si>
  <si>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</si>
  <si>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</si>
  <si>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</si>
  <si>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</si>
  <si>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</si>
  <si>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</si>
  <si>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</si>
  <si>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</si>
  <si>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</si>
  <si>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</si>
  <si>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</si>
  <si>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</si>
  <si>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</si>
  <si>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</si>
  <si>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</si>
  <si>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</si>
  <si>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</si>
  <si>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</si>
  <si>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</si>
  <si>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</si>
  <si>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</si>
  <si>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</si>
  <si>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</si>
  <si>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</si>
  <si>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</si>
  <si>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</si>
  <si>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</si>
  <si>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</si>
  <si>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</si>
  <si>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</si>
  <si>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</si>
  <si>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</si>
  <si>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</si>
  <si>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</si>
  <si>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</si>
  <si>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</si>
  <si>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</si>
  <si>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</si>
  <si>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</si>
  <si>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</si>
  <si>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</si>
  <si>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</si>
  <si>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</si>
  <si>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</si>
  <si>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</si>
  <si>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</si>
  <si>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</si>
  <si>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</si>
  <si>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</si>
  <si>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</si>
  <si>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</si>
  <si>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</si>
  <si>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</si>
  <si>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</si>
  <si>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</si>
  <si>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</si>
  <si>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</si>
  <si>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</si>
  <si>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</si>
  <si>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</si>
  <si>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</si>
  <si>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</si>
  <si>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</si>
  <si>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</si>
  <si>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</si>
  <si>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</si>
  <si>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</si>
  <si>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</si>
  <si>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</si>
  <si>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</si>
  <si>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</si>
  <si>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</si>
  <si>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</si>
  <si>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</si>
  <si>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</si>
  <si>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</si>
  <si>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</si>
  <si>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</si>
  <si>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</si>
  <si>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</si>
  <si>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</si>
  <si>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</si>
  <si>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</si>
  <si>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</si>
  <si>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</si>
  <si>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</si>
  <si>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</si>
  <si>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</si>
  <si>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</si>
  <si>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</si>
  <si>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</si>
  <si>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</si>
  <si>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</si>
  <si>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</si>
  <si>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</si>
  <si>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</si>
  <si>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</si>
  <si>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</si>
  <si>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</si>
  <si>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</si>
  <si>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</si>
  <si>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</si>
  <si>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</si>
  <si>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</si>
  <si>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</si>
  <si>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</si>
  <si>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</si>
  <si>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</si>
  <si>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</si>
  <si>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</si>
  <si>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</si>
  <si>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</si>
  <si>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</si>
  <si>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</si>
  <si>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</si>
  <si>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</si>
  <si>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</si>
  <si>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</si>
  <si>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</si>
  <si>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</si>
  <si>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</si>
  <si>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</si>
  <si>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</si>
  <si>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</si>
  <si>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</si>
  <si>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</si>
  <si>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</si>
  <si>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</si>
  <si>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</si>
  <si>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</si>
  <si>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</si>
  <si>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</si>
  <si>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</si>
  <si>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</si>
  <si>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</si>
  <si>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</si>
  <si>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</si>
  <si>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</si>
  <si>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</si>
  <si>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</si>
  <si>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</si>
  <si>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</si>
  <si>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</si>
  <si>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</si>
  <si>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</si>
  <si>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</si>
  <si>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</si>
  <si>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</si>
  <si>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</si>
  <si>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</si>
  <si>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</si>
  <si>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</si>
  <si>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</si>
  <si>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</si>
  <si>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</si>
  <si>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</si>
  <si>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</si>
  <si>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</si>
  <si>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</si>
  <si>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</si>
  <si>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</si>
  <si>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</si>
  <si>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</si>
  <si>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</si>
  <si>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</si>
  <si>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</si>
  <si>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</si>
  <si>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</si>
  <si>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</si>
  <si>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</si>
  <si>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</si>
  <si>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</si>
  <si>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</si>
  <si>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</si>
  <si>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</si>
  <si>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</si>
  <si>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</si>
  <si>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</si>
  <si>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</si>
  <si>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</si>
  <si>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</si>
  <si>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</si>
  <si>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</si>
  <si>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</si>
  <si>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</si>
  <si>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</si>
  <si>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</si>
  <si>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</si>
  <si>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</si>
  <si>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</si>
  <si>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</si>
  <si>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</si>
  <si>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</si>
  <si>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</si>
  <si>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</si>
  <si>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</si>
  <si>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</si>
  <si>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</si>
  <si>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</si>
  <si>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</si>
  <si>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</si>
  <si>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</si>
  <si>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</si>
  <si>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</si>
  <si>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</si>
  <si>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</si>
  <si>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</si>
  <si>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</si>
  <si>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</si>
  <si>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</si>
  <si>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</si>
  <si>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</si>
  <si>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</si>
  <si>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</si>
  <si>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</si>
  <si>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</si>
  <si>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</si>
  <si>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</si>
  <si>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</si>
  <si>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</si>
  <si>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</si>
  <si>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</si>
  <si>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</si>
  <si>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</si>
  <si>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</si>
  <si>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</si>
  <si>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</si>
  <si>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</si>
  <si>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</si>
  <si>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</si>
  <si>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</si>
  <si>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</si>
  <si>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</si>
  <si>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</si>
  <si>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</si>
  <si>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</si>
  <si>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</si>
  <si>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</si>
  <si>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</si>
  <si>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</si>
  <si>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</si>
  <si>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</si>
  <si>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</si>
  <si>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</si>
  <si>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</si>
  <si>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</si>
  <si>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</si>
  <si>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</si>
  <si>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</si>
  <si>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</si>
  <si>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</si>
  <si>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</si>
  <si>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</si>
  <si>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</si>
  <si>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</si>
  <si>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</si>
  <si>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</si>
  <si>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</si>
  <si>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</si>
  <si>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</si>
  <si>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</si>
  <si>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</si>
  <si>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</si>
  <si>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</si>
  <si>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</si>
  <si>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</si>
  <si>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</si>
  <si>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</si>
  <si>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</si>
  <si>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</si>
  <si>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</si>
  <si>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</si>
  <si>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</si>
  <si>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</si>
  <si>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</si>
  <si>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</si>
  <si>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</si>
  <si>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</si>
  <si>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</si>
  <si>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</si>
  <si>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</si>
  <si>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</si>
  <si>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</si>
  <si>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</si>
  <si>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</si>
  <si>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</si>
  <si>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</si>
  <si>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</si>
  <si>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</si>
  <si>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</si>
  <si>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</si>
  <si>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</si>
  <si>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</si>
  <si>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</si>
  <si>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</si>
  <si>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</si>
  <si>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</si>
  <si>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</si>
  <si>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</si>
  <si>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</si>
  <si>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</si>
  <si>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</si>
  <si>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</si>
  <si>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</si>
  <si>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</si>
  <si>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</si>
  <si>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</si>
  <si>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</si>
  <si>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</si>
  <si>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</si>
  <si>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</si>
  <si>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</si>
  <si>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</si>
  <si>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</si>
  <si>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</si>
  <si>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</si>
  <si>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</si>
  <si>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</si>
  <si>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</si>
  <si>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</si>
  <si>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</si>
  <si>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</si>
  <si>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</si>
  <si>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</si>
  <si>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</si>
  <si>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</si>
  <si>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</si>
  <si>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</si>
  <si>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</si>
  <si>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</si>
  <si>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</si>
  <si>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</si>
  <si>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</si>
  <si>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</si>
  <si>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</si>
  <si>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</si>
  <si>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</si>
  <si>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</si>
  <si>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</si>
  <si>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</si>
  <si>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</si>
  <si>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</si>
  <si>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</si>
  <si>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</si>
  <si>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</si>
  <si>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</si>
  <si>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</si>
  <si>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</si>
  <si>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</si>
  <si>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</si>
  <si>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</si>
  <si>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</si>
  <si>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</si>
  <si>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</si>
  <si>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</si>
  <si>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</si>
  <si>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</si>
  <si>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</si>
  <si>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</si>
  <si>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</si>
  <si>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</si>
  <si>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</si>
  <si>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</si>
  <si>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</si>
  <si>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</si>
  <si>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</si>
  <si>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</si>
  <si>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</si>
  <si>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</si>
  <si>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</si>
  <si>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</si>
  <si>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</si>
  <si>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</si>
  <si>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</si>
  <si>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</si>
  <si>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</si>
  <si>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</si>
  <si>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</si>
  <si>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</si>
  <si>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</si>
  <si>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</si>
  <si>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</si>
  <si>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</si>
  <si>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</si>
  <si>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</si>
  <si>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</si>
  <si>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</si>
  <si>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</si>
  <si>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</si>
  <si>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</si>
  <si>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</si>
  <si>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</si>
  <si>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</si>
  <si>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</si>
  <si>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</si>
  <si>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</si>
  <si>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</si>
  <si>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</si>
  <si>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</si>
  <si>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</si>
  <si>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</si>
  <si>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</si>
  <si>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</si>
  <si>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</si>
  <si>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</si>
  <si>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</si>
  <si>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</si>
  <si>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</si>
  <si>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</si>
  <si>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</si>
  <si>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</si>
  <si>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</si>
  <si>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</si>
  <si>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</si>
  <si>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</si>
  <si>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</si>
  <si>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</si>
  <si>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</si>
  <si>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</si>
  <si>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</si>
  <si>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</si>
  <si>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</si>
  <si>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</si>
  <si>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</si>
  <si>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</si>
  <si>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</si>
  <si>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</si>
  <si>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</si>
  <si>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</si>
  <si>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</si>
  <si>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</si>
  <si>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</si>
  <si>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</si>
  <si>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</si>
  <si>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</si>
  <si>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</si>
  <si>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</si>
  <si>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</si>
  <si>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</si>
  <si>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</si>
  <si>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</si>
  <si>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</si>
  <si>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</si>
  <si>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</si>
  <si>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</si>
  <si>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</si>
  <si>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</si>
  <si>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</si>
  <si>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</si>
  <si>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</si>
  <si>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</si>
  <si>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</si>
  <si>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</si>
  <si>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</si>
  <si>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</si>
  <si>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</si>
  <si>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</si>
  <si>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</si>
  <si>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</si>
  <si>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</si>
  <si>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</si>
  <si>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</si>
  <si>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</si>
  <si>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</si>
  <si>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</si>
  <si>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</si>
  <si>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</si>
  <si>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</si>
  <si>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</si>
  <si>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</si>
  <si>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</si>
  <si>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</si>
  <si>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</si>
  <si>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</si>
  <si>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</si>
  <si>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</si>
  <si>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</si>
  <si>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</si>
  <si>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</si>
  <si>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</si>
  <si>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</si>
  <si>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</si>
  <si>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</si>
  <si>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</si>
  <si>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</si>
  <si>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</si>
  <si>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</si>
  <si>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</si>
  <si>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</si>
  <si>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</si>
  <si>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</si>
  <si>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</si>
  <si>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</si>
  <si>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</si>
  <si>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</si>
  <si>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</si>
  <si>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</si>
  <si>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</si>
  <si>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</si>
  <si>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</si>
  <si>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</si>
  <si>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</si>
  <si>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</si>
  <si>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</si>
  <si>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</si>
  <si>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</si>
  <si>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</si>
  <si>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</si>
  <si>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</si>
  <si>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</si>
  <si>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</si>
  <si>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</si>
  <si>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</si>
  <si>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</si>
  <si>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</si>
  <si>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</si>
  <si>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</si>
  <si>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</si>
  <si>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</si>
  <si>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</si>
  <si>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</si>
  <si>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</si>
  <si>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</si>
  <si>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</si>
  <si>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</si>
  <si>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</si>
  <si>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</si>
  <si>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</si>
  <si>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</si>
  <si>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</si>
  <si>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</si>
  <si>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</si>
  <si>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</si>
  <si>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</si>
  <si>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</si>
  <si>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</si>
  <si>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</si>
  <si>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</si>
  <si>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</si>
  <si>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</si>
  <si>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</si>
  <si>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</si>
  <si>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</si>
  <si>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</si>
  <si>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</si>
  <si>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</si>
  <si>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</si>
  <si>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</si>
  <si>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</si>
  <si>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</si>
  <si>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</si>
  <si>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</si>
  <si>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</si>
  <si>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</si>
  <si>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</si>
  <si>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</si>
  <si>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</si>
  <si>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</si>
  <si>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</si>
  <si>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</si>
  <si>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</si>
  <si>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</si>
  <si>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</si>
  <si>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</si>
  <si>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</si>
  <si>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</si>
  <si>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</si>
  <si>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</si>
  <si>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</si>
  <si>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</si>
  <si>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</si>
  <si>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</si>
  <si>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</si>
  <si>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</si>
  <si>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</si>
  <si>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</si>
  <si>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</si>
  <si>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</si>
  <si>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</si>
  <si>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</si>
  <si>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</si>
  <si>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</si>
  <si>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</si>
  <si>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</si>
  <si>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</si>
  <si>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</si>
  <si>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</si>
  <si>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</si>
  <si>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</si>
  <si>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</si>
  <si>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</si>
  <si>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</si>
  <si>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</si>
  <si>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</si>
  <si>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</si>
  <si>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</si>
  <si>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</si>
  <si>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</si>
  <si>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</si>
  <si>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</si>
  <si>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</si>
  <si>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</si>
  <si>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</si>
  <si>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</si>
  <si>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</si>
  <si>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</si>
  <si>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</si>
  <si>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</si>
  <si>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</si>
  <si>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</si>
  <si>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</si>
  <si>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</si>
  <si>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</si>
  <si>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</si>
  <si>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</si>
  <si>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</si>
  <si>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</si>
  <si>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</si>
  <si>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</si>
  <si>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</si>
  <si>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</si>
  <si>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</si>
  <si>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</si>
  <si>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</si>
  <si>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</si>
  <si>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</si>
  <si>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</si>
  <si>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</si>
  <si>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</si>
  <si>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</si>
  <si>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</si>
  <si>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</si>
  <si>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</si>
  <si>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</si>
  <si>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</si>
  <si>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</si>
  <si>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</si>
  <si>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</si>
  <si>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</si>
  <si>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</si>
  <si>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</si>
  <si>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</si>
  <si>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</si>
  <si>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</si>
  <si>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</si>
  <si>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</si>
  <si>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</si>
  <si>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</si>
  <si>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</si>
  <si>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</si>
  <si>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</si>
  <si>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</si>
  <si>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</si>
  <si>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</si>
  <si>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</si>
  <si>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</si>
  <si>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</si>
  <si>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</si>
  <si>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</si>
  <si>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</si>
  <si>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</si>
  <si>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</si>
  <si>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</si>
  <si>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</si>
  <si>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</si>
  <si>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</si>
  <si>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</si>
  <si>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</si>
  <si>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</si>
  <si>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</si>
  <si>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</si>
  <si>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</si>
  <si>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</si>
  <si>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</si>
  <si>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</si>
  <si>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</si>
  <si>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</si>
  <si>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</si>
  <si>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</si>
  <si>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</si>
  <si>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</si>
  <si>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</si>
  <si>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</si>
  <si>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</si>
  <si>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</si>
  <si>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</si>
  <si>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</si>
  <si>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</si>
  <si>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</si>
  <si>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</si>
  <si>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</si>
  <si>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</si>
  <si>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</si>
  <si>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</si>
  <si>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</si>
  <si>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</si>
  <si>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</si>
  <si>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</si>
  <si>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</si>
  <si>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</si>
  <si>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</si>
  <si>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</si>
  <si>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</si>
  <si>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</si>
  <si>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</si>
  <si>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</si>
  <si>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</si>
  <si>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</si>
  <si>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</si>
  <si>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</si>
  <si>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</si>
  <si>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</si>
  <si>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</si>
  <si>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</si>
  <si>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</si>
  <si>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</si>
  <si>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</si>
  <si>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</si>
  <si>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</si>
  <si>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</si>
  <si>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</si>
  <si>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</si>
  <si>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</si>
  <si>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</si>
  <si>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</si>
  <si>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</si>
  <si>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</si>
  <si>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</si>
  <si>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</si>
  <si>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</si>
  <si>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</si>
  <si>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</si>
  <si>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</si>
  <si>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</si>
  <si>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</si>
  <si>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</si>
  <si>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</si>
  <si>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</si>
  <si>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</si>
  <si>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</si>
  <si>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</si>
  <si>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</si>
  <si>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</si>
  <si>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</si>
  <si>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</si>
  <si>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</si>
  <si>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</si>
  <si>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</si>
  <si>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</si>
  <si>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</si>
  <si>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</si>
  <si>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</si>
  <si>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</si>
  <si>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</si>
  <si>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</si>
  <si>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</si>
  <si>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</si>
  <si>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</si>
  <si>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</si>
  <si>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</si>
  <si>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</si>
  <si>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</si>
  <si>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</si>
  <si>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</si>
  <si>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</si>
  <si>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</si>
  <si>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</si>
  <si>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</si>
  <si>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</si>
  <si>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</si>
  <si>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</si>
  <si>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</si>
  <si>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</si>
  <si>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</si>
  <si>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</si>
  <si>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</si>
  <si>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</si>
  <si>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</si>
  <si>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</si>
  <si>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</si>
  <si>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</si>
  <si>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</si>
  <si>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</si>
  <si>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</si>
  <si>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</si>
  <si>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</si>
  <si>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</si>
  <si>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</si>
  <si>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</si>
  <si>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</si>
  <si>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</si>
  <si>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</si>
  <si>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</si>
  <si>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</si>
  <si>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</si>
  <si>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</si>
  <si>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</si>
  <si>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</si>
  <si>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</si>
  <si>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</si>
  <si>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</si>
  <si>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</si>
  <si>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</si>
  <si>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</si>
  <si>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</si>
  <si>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</si>
  <si>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</si>
  <si>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</si>
  <si>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</si>
  <si>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</si>
  <si>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</si>
  <si>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</si>
  <si>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</si>
  <si>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</si>
  <si>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</si>
  <si>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</si>
  <si>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</si>
  <si>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</si>
  <si>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</si>
  <si>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</si>
  <si>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</si>
  <si>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</si>
  <si>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</si>
  <si>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</si>
  <si>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</si>
  <si>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</si>
  <si>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</si>
  <si>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</si>
  <si>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</si>
  <si>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</si>
  <si>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</si>
  <si>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</si>
  <si>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</si>
  <si>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</si>
  <si>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</si>
  <si>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</si>
  <si>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</si>
  <si>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</si>
  <si>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</si>
  <si>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</si>
  <si>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</si>
  <si>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</si>
  <si>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</si>
  <si>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</si>
  <si>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</si>
  <si>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</si>
  <si>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</si>
  <si>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</si>
  <si>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</si>
  <si>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</si>
  <si>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</si>
  <si>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</si>
  <si>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</si>
  <si>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</si>
  <si>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</si>
  <si>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</si>
  <si>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</si>
  <si>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</si>
  <si>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</si>
  <si>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</si>
  <si>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</si>
  <si>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</si>
  <si>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</si>
  <si>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</si>
  <si>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</si>
  <si>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</si>
  <si>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</si>
  <si>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</si>
  <si>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</si>
  <si>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</si>
  <si>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</si>
  <si>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</si>
  <si>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</si>
  <si>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</si>
  <si>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</si>
  <si>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</si>
  <si>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</si>
  <si>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</si>
  <si>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</si>
  <si>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</si>
  <si>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</si>
  <si>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</si>
  <si>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</si>
  <si>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</si>
  <si>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</si>
  <si>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</si>
  <si>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竣备</t>
    <phoneticPr fontId="3" type="noConversion"/>
  </si>
  <si>
    <t>是</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</si>
  <si>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</si>
  <si>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</si>
  <si>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</si>
  <si>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</si>
  <si>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</si>
  <si>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地上</t>
  </si>
  <si>
    <t>商业1-5层</t>
  </si>
  <si>
    <t>商业1-5层</t>
    <phoneticPr fontId="7" type="noConversion"/>
  </si>
  <si>
    <t>成新度</t>
  </si>
  <si>
    <t>押一</t>
  </si>
  <si>
    <t>钢混</t>
  </si>
  <si>
    <t>非生产用房</t>
  </si>
  <si>
    <t>否</t>
  </si>
  <si>
    <t>收益法</t>
  </si>
  <si>
    <t>自定义容积率</t>
  </si>
  <si>
    <t>不临65条商业街</t>
  </si>
  <si>
    <t>与级别开发程度不一致</t>
  </si>
  <si>
    <t>通路</t>
  </si>
  <si>
    <t>通电</t>
  </si>
  <si>
    <t>通讯</t>
  </si>
  <si>
    <t>通上水</t>
  </si>
  <si>
    <t>通下水</t>
  </si>
  <si>
    <t>通热</t>
  </si>
  <si>
    <t>平整</t>
  </si>
  <si>
    <t>楼层修正</t>
  </si>
  <si>
    <t>较好</t>
  </si>
  <si>
    <t>好</t>
  </si>
  <si>
    <t>一般</t>
  </si>
  <si>
    <t>较差</t>
  </si>
  <si>
    <t>未包含在土地购买价格中</t>
  </si>
  <si>
    <t>全部缴纳</t>
  </si>
  <si>
    <t>已包含在土地取得成本中</t>
  </si>
  <si>
    <t>成本法</t>
  </si>
  <si>
    <t>成本比率</t>
  </si>
  <si>
    <t>楼面单价</t>
  </si>
  <si>
    <t>单套模式</t>
  </si>
  <si>
    <t>租金</t>
  </si>
  <si>
    <t>楼层</t>
    <phoneticPr fontId="3" type="noConversion"/>
  </si>
  <si>
    <t>面积</t>
    <phoneticPr fontId="3" type="noConversion"/>
  </si>
  <si>
    <t>系数</t>
    <phoneticPr fontId="3" type="noConversion"/>
  </si>
  <si>
    <t>租金</t>
    <phoneticPr fontId="3" type="noConversion"/>
  </si>
  <si>
    <t>售价</t>
  </si>
  <si>
    <t>售价</t>
    <phoneticPr fontId="3" type="noConversion"/>
  </si>
  <si>
    <t>商业</t>
    <phoneticPr fontId="30" type="noConversion"/>
  </si>
  <si>
    <t>报价</t>
  </si>
  <si>
    <t>报价</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</si>
  <si>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</si>
  <si>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</si>
  <si>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</si>
  <si>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</si>
  <si>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</si>
  <si>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差</t>
  </si>
  <si>
    <t>大</t>
    <phoneticPr fontId="30" type="noConversion"/>
  </si>
  <si>
    <t>较大</t>
  </si>
  <si>
    <t>较大</t>
    <phoneticPr fontId="30" type="noConversion"/>
  </si>
  <si>
    <t>较小</t>
    <phoneticPr fontId="30" type="noConversion"/>
  </si>
  <si>
    <t>小</t>
    <phoneticPr fontId="30" type="noConversion"/>
  </si>
  <si>
    <t>一般</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</si>
  <si>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</si>
  <si>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</si>
  <si>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</si>
  <si>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1-2</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</si>
  <si>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</si>
  <si>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</si>
  <si>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</si>
  <si>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</si>
  <si>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</si>
  <si>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</si>
  <si>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</si>
  <si>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</si>
  <si>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七通</t>
  </si>
  <si>
    <t>七通</t>
    <phoneticPr fontId="30" type="noConversion"/>
  </si>
  <si>
    <t>六通</t>
    <phoneticPr fontId="30" type="noConversion"/>
  </si>
  <si>
    <t>五通</t>
    <phoneticPr fontId="30" type="noConversion"/>
  </si>
  <si>
    <t>四通</t>
    <phoneticPr fontId="30" type="noConversion"/>
  </si>
  <si>
    <t>三通</t>
    <phoneticPr fontId="30" type="noConversion"/>
  </si>
  <si>
    <t>标准层高</t>
  </si>
  <si>
    <t>标准层高</t>
    <phoneticPr fontId="30" type="noConversion"/>
  </si>
  <si>
    <t>正常</t>
  </si>
  <si>
    <t>1层</t>
  </si>
  <si>
    <t>1层</t>
    <phoneticPr fontId="24" type="noConversion"/>
  </si>
  <si>
    <t>2层</t>
  </si>
  <si>
    <t>3层</t>
  </si>
  <si>
    <t>4层</t>
  </si>
  <si>
    <t>5层</t>
  </si>
  <si>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</si>
  <si>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</si>
  <si>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</si>
  <si>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r>
      <t>5</t>
    </r>
    <r>
      <rPr>
        <sz val="10"/>
        <color indexed="8"/>
        <rFont val="宋体"/>
        <family val="3"/>
        <charset val="134"/>
      </rPr>
      <t>层</t>
    </r>
    <phoneticPr fontId="24" type="noConversion"/>
  </si>
  <si>
    <r>
      <t>4</t>
    </r>
    <r>
      <rPr>
        <sz val="11"/>
        <color indexed="8"/>
        <rFont val="宋体"/>
        <family val="3"/>
        <charset val="134"/>
      </rPr>
      <t>层</t>
    </r>
    <phoneticPr fontId="30" type="noConversion"/>
  </si>
  <si>
    <r>
      <t>5</t>
    </r>
    <r>
      <rPr>
        <sz val="11"/>
        <color indexed="8"/>
        <rFont val="宋体"/>
        <family val="3"/>
        <charset val="134"/>
      </rPr>
      <t>层</t>
    </r>
    <phoneticPr fontId="30" type="noConversion"/>
  </si>
  <si>
    <t>1层临街，无物业费，含税，711旁边，临交大东路，有燃气，可餐饮</t>
    <phoneticPr fontId="134" type="noConversion"/>
  </si>
  <si>
    <t>交大东路31号院</t>
    <phoneticPr fontId="3" type="noConversion"/>
  </si>
  <si>
    <t>2层成交价8-9块，2层无燃气</t>
    <phoneticPr fontId="134" type="noConversion"/>
  </si>
  <si>
    <t>小西天观河锦苑，1层，310平，全含日租金12-15元，有燃气，临冰窖口胡同</t>
    <phoneticPr fontId="134" type="noConversion"/>
  </si>
  <si>
    <t>阳光丽景小区底商，单价6.8万的是2层的，其余9万以上都是1层的</t>
    <phoneticPr fontId="134" type="noConversion"/>
  </si>
  <si>
    <t>临双旗杆西路</t>
    <phoneticPr fontId="134" type="noConversion"/>
  </si>
  <si>
    <t>较好</t>
    <phoneticPr fontId="30" type="noConversion"/>
  </si>
  <si>
    <t>建成年代</t>
    <phoneticPr fontId="30" type="noConversion"/>
  </si>
  <si>
    <t>1980-1999</t>
    <phoneticPr fontId="30" type="noConversion"/>
  </si>
  <si>
    <t>阳光丽景</t>
    <phoneticPr fontId="3" type="noConversion"/>
  </si>
  <si>
    <t>2000-2008</t>
    <phoneticPr fontId="30" type="noConversion"/>
  </si>
  <si>
    <t>观河锦苑</t>
    <phoneticPr fontId="3" type="noConversion"/>
  </si>
  <si>
    <t>小西天</t>
    <phoneticPr fontId="3" type="noConversion"/>
  </si>
  <si>
    <t>2002-2006</t>
    <phoneticPr fontId="30" type="noConversion"/>
  </si>
  <si>
    <t>可餐饮</t>
  </si>
  <si>
    <t>可餐饮</t>
    <phoneticPr fontId="30" type="noConversion"/>
  </si>
  <si>
    <t>不可餐饮</t>
  </si>
  <si>
    <t>不可餐饮</t>
    <phoneticPr fontId="30" type="noConversion"/>
  </si>
  <si>
    <t>面积</t>
    <phoneticPr fontId="134" type="noConversion"/>
  </si>
  <si>
    <t>单价</t>
    <phoneticPr fontId="134" type="noConversion"/>
  </si>
  <si>
    <t>楼层</t>
    <phoneticPr fontId="134" type="noConversion"/>
  </si>
  <si>
    <t>1层</t>
    <phoneticPr fontId="134" type="noConversion"/>
  </si>
  <si>
    <t>年净租金</t>
    <phoneticPr fontId="134" type="noConversion"/>
  </si>
  <si>
    <t>日租金</t>
    <phoneticPr fontId="134" type="noConversion"/>
  </si>
  <si>
    <t>2层</t>
    <phoneticPr fontId="134" type="noConversion"/>
  </si>
  <si>
    <t>1层临街，118.58平，单价115534元，全含日租金14元，去年签约，到2026年</t>
    <phoneticPr fontId="134" type="noConversion"/>
  </si>
  <si>
    <r>
      <rPr>
        <sz val="10"/>
        <color indexed="8"/>
        <rFont val="宋体"/>
        <family val="3"/>
        <charset val="134"/>
      </rPr>
      <t>西天药房，</t>
    </r>
    <r>
      <rPr>
        <sz val="10"/>
        <color indexed="8"/>
        <rFont val="Arial"/>
        <family val="2"/>
      </rPr>
      <t>50</t>
    </r>
    <r>
      <rPr>
        <sz val="10"/>
        <color indexed="8"/>
        <rFont val="宋体"/>
        <family val="3"/>
        <charset val="134"/>
      </rPr>
      <t>平，</t>
    </r>
    <r>
      <rPr>
        <sz val="10"/>
        <color indexed="8"/>
        <rFont val="Arial"/>
        <family val="2"/>
      </rPr>
      <t>1</t>
    </r>
    <r>
      <rPr>
        <sz val="10"/>
        <color indexed="8"/>
        <rFont val="宋体"/>
        <family val="3"/>
        <charset val="134"/>
      </rPr>
      <t>层，</t>
    </r>
    <r>
      <rPr>
        <sz val="10"/>
        <color indexed="8"/>
        <rFont val="Arial"/>
        <family val="2"/>
      </rPr>
      <t>15</t>
    </r>
    <r>
      <rPr>
        <sz val="10"/>
        <color indexed="8"/>
        <rFont val="宋体"/>
        <family val="3"/>
        <charset val="134"/>
      </rPr>
      <t>块净租金</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</si>
  <si>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134" type="noConversion"/>
  </si>
  <si>
    <r>
      <rPr>
        <sz val="11"/>
        <color indexed="8"/>
        <rFont val="宋体"/>
        <family val="3"/>
        <charset val="134"/>
      </rPr>
      <t>负</t>
    </r>
    <r>
      <rPr>
        <sz val="11"/>
        <color indexed="8"/>
        <rFont val="Arial"/>
        <family val="2"/>
      </rPr>
      <t>1</t>
    </r>
    <r>
      <rPr>
        <sz val="11"/>
        <color indexed="8"/>
        <rFont val="宋体"/>
        <family val="3"/>
        <charset val="134"/>
      </rPr>
      <t>至</t>
    </r>
    <r>
      <rPr>
        <sz val="11"/>
        <color indexed="8"/>
        <rFont val="Arial"/>
        <family val="2"/>
      </rPr>
      <t>1</t>
    </r>
    <r>
      <rPr>
        <sz val="11"/>
        <color indexed="8"/>
        <rFont val="宋体"/>
        <family val="3"/>
        <charset val="134"/>
      </rPr>
      <t>层</t>
    </r>
    <phoneticPr fontId="134" type="noConversion"/>
  </si>
  <si>
    <t>交大嘉园，7月成交1050万元，149.97平，单价70014元，临街1层，年净租金58万，日租金10.6块</t>
    <phoneticPr fontId="134" type="noConversion"/>
  </si>
  <si>
    <r>
      <t>德胜佳苑，负1层至1层，单价61137元，</t>
    </r>
    <r>
      <rPr>
        <sz val="11"/>
        <color theme="1"/>
        <rFont val="宋体"/>
        <family val="3"/>
        <charset val="134"/>
        <scheme val="minor"/>
      </rPr>
      <t>，年净租金30万，</t>
    </r>
    <r>
      <rPr>
        <sz val="11"/>
        <color theme="1"/>
        <rFont val="宋体"/>
        <family val="3"/>
        <charset val="134"/>
        <scheme val="minor"/>
      </rPr>
      <t>日租金5.3</t>
    </r>
    <phoneticPr fontId="134" type="noConversion"/>
  </si>
  <si>
    <t>金地华著</t>
    <phoneticPr fontId="3" type="noConversion"/>
  </si>
  <si>
    <t>2017-2018</t>
    <phoneticPr fontId="134" type="noConversion"/>
  </si>
  <si>
    <r>
      <rPr>
        <sz val="10"/>
        <color theme="9" tint="-0.249977111117893"/>
        <rFont val="宋体"/>
        <family val="3"/>
        <charset val="134"/>
      </rPr>
      <t>西城区冰窖口胡同</t>
    </r>
    <r>
      <rPr>
        <sz val="10"/>
        <color theme="9" tint="-0.249977111117893"/>
        <rFont val="Arial"/>
        <family val="2"/>
      </rPr>
      <t>1</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号楼商业用房</t>
    </r>
    <phoneticPr fontId="6" type="noConversion"/>
  </si>
  <si>
    <t>转让取得</t>
  </si>
  <si>
    <t>个人其他（无凭证）</t>
  </si>
  <si>
    <t>情况4</t>
  </si>
  <si>
    <r>
      <rPr>
        <sz val="10"/>
        <color indexed="8"/>
        <rFont val="宋体"/>
        <family val="3"/>
        <charset val="134"/>
      </rPr>
      <t>估价对象所属项目德胜佳苑，</t>
    </r>
    <r>
      <rPr>
        <sz val="10"/>
        <color indexed="8"/>
        <rFont val="Arial"/>
        <family val="2"/>
      </rPr>
      <t>1</t>
    </r>
    <r>
      <rPr>
        <sz val="10"/>
        <color indexed="8"/>
        <rFont val="宋体"/>
        <family val="3"/>
        <charset val="134"/>
      </rPr>
      <t>层位置好的租金能到</t>
    </r>
    <r>
      <rPr>
        <sz val="10"/>
        <color indexed="8"/>
        <rFont val="Arial"/>
        <family val="2"/>
      </rPr>
      <t>14</t>
    </r>
    <r>
      <rPr>
        <sz val="10"/>
        <color indexed="8"/>
        <rFont val="宋体"/>
        <family val="3"/>
        <charset val="134"/>
      </rPr>
      <t>块左右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</si>
</sst>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14" fontId="47" fillId="7" borderId="0" xfId="0" applyNumberFormat="1" applyFont="1" applyFill="1" applyProtection="1">
      <alignment vertical="center"/>
      <protection locked="0"/>
    </xf>
    <xf numFmtId="0" fontId="77" fillId="12" borderId="0" xfId="0" applyFont="1" applyFill="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95" fillId="0" borderId="0" xfId="0" applyFont="1">
      <alignment vertical="center"/>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9" fillId="22" borderId="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47" fillId="8" borderId="1" xfId="0" applyNumberFormat="1" applyFont="1" applyFill="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276225</xdr:colOff>
      <xdr:row>20</xdr:row>
      <xdr:rowOff>9883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134224" cy="3438883"/>
        </a:xfrm>
        <a:prstGeom prst="rect">
          <a:avLst/>
        </a:prstGeom>
      </xdr:spPr>
    </xdr:pic>
    <xdr:clientData/>
  </xdr:twoCellAnchor>
  <xdr:twoCellAnchor editAs="oneCell">
    <xdr:from>
      <xdr:col>0</xdr:col>
      <xdr:colOff>0</xdr:colOff>
      <xdr:row>20</xdr:row>
      <xdr:rowOff>142875</xdr:rowOff>
    </xdr:from>
    <xdr:to>
      <xdr:col>10</xdr:col>
      <xdr:colOff>219075</xdr:colOff>
      <xdr:row>40</xdr:row>
      <xdr:rowOff>84183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71875"/>
          <a:ext cx="7077075" cy="3370308"/>
        </a:xfrm>
        <a:prstGeom prst="rect">
          <a:avLst/>
        </a:prstGeom>
      </xdr:spPr>
    </xdr:pic>
    <xdr:clientData/>
  </xdr:twoCellAnchor>
  <xdr:twoCellAnchor editAs="oneCell">
    <xdr:from>
      <xdr:col>0</xdr:col>
      <xdr:colOff>1</xdr:colOff>
      <xdr:row>42</xdr:row>
      <xdr:rowOff>1</xdr:rowOff>
    </xdr:from>
    <xdr:to>
      <xdr:col>9</xdr:col>
      <xdr:colOff>638175</xdr:colOff>
      <xdr:row>59</xdr:row>
      <xdr:rowOff>84363</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200901"/>
          <a:ext cx="6810374" cy="2999012"/>
        </a:xfrm>
        <a:prstGeom prst="rect">
          <a:avLst/>
        </a:prstGeom>
      </xdr:spPr>
    </xdr:pic>
    <xdr:clientData/>
  </xdr:twoCellAnchor>
  <xdr:twoCellAnchor editAs="oneCell">
    <xdr:from>
      <xdr:col>0</xdr:col>
      <xdr:colOff>0</xdr:colOff>
      <xdr:row>61</xdr:row>
      <xdr:rowOff>0</xdr:rowOff>
    </xdr:from>
    <xdr:to>
      <xdr:col>9</xdr:col>
      <xdr:colOff>666750</xdr:colOff>
      <xdr:row>78</xdr:row>
      <xdr:rowOff>33469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6838950" cy="2948119"/>
        </a:xfrm>
        <a:prstGeom prst="rect">
          <a:avLst/>
        </a:prstGeom>
      </xdr:spPr>
    </xdr:pic>
    <xdr:clientData/>
  </xdr:twoCellAnchor>
  <xdr:twoCellAnchor editAs="oneCell">
    <xdr:from>
      <xdr:col>0</xdr:col>
      <xdr:colOff>1</xdr:colOff>
      <xdr:row>80</xdr:row>
      <xdr:rowOff>1</xdr:rowOff>
    </xdr:from>
    <xdr:to>
      <xdr:col>11</xdr:col>
      <xdr:colOff>314325</xdr:colOff>
      <xdr:row>102</xdr:row>
      <xdr:rowOff>81159</xdr:rowOff>
    </xdr:to>
    <xdr:pic>
      <xdr:nvPicPr>
        <xdr:cNvPr id="6" name="图片 5"/>
        <xdr:cNvPicPr>
          <a:picLocks noChangeAspect="1"/>
        </xdr:cNvPicPr>
      </xdr:nvPicPr>
      <xdr:blipFill>
        <a:blip xmlns:r="http://schemas.openxmlformats.org/officeDocument/2006/relationships" r:embed="rId5"/>
        <a:stretch>
          <a:fillRect/>
        </a:stretch>
      </xdr:blipFill>
      <xdr:spPr>
        <a:xfrm>
          <a:off x="1" y="13716001"/>
          <a:ext cx="7858124" cy="3853058"/>
        </a:xfrm>
        <a:prstGeom prst="rect">
          <a:avLst/>
        </a:prstGeom>
      </xdr:spPr>
    </xdr:pic>
    <xdr:clientData/>
  </xdr:twoCellAnchor>
  <xdr:twoCellAnchor editAs="oneCell">
    <xdr:from>
      <xdr:col>0</xdr:col>
      <xdr:colOff>0</xdr:colOff>
      <xdr:row>104</xdr:row>
      <xdr:rowOff>1</xdr:rowOff>
    </xdr:from>
    <xdr:to>
      <xdr:col>10</xdr:col>
      <xdr:colOff>658305</xdr:colOff>
      <xdr:row>125</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830801"/>
          <a:ext cx="7516305" cy="3657600"/>
        </a:xfrm>
        <a:prstGeom prst="rect">
          <a:avLst/>
        </a:prstGeom>
      </xdr:spPr>
    </xdr:pic>
    <xdr:clientData/>
  </xdr:twoCellAnchor>
  <xdr:twoCellAnchor editAs="oneCell">
    <xdr:from>
      <xdr:col>0</xdr:col>
      <xdr:colOff>0</xdr:colOff>
      <xdr:row>128</xdr:row>
      <xdr:rowOff>1</xdr:rowOff>
    </xdr:from>
    <xdr:to>
      <xdr:col>11</xdr:col>
      <xdr:colOff>232017</xdr:colOff>
      <xdr:row>150</xdr:row>
      <xdr:rowOff>76201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1"/>
          <a:ext cx="7775817" cy="3848100"/>
        </a:xfrm>
        <a:prstGeom prst="rect">
          <a:avLst/>
        </a:prstGeom>
      </xdr:spPr>
    </xdr:pic>
    <xdr:clientData/>
  </xdr:twoCellAnchor>
  <xdr:twoCellAnchor editAs="oneCell">
    <xdr:from>
      <xdr:col>0</xdr:col>
      <xdr:colOff>0</xdr:colOff>
      <xdr:row>152</xdr:row>
      <xdr:rowOff>0</xdr:rowOff>
    </xdr:from>
    <xdr:to>
      <xdr:col>10</xdr:col>
      <xdr:colOff>488373</xdr:colOff>
      <xdr:row>172</xdr:row>
      <xdr:rowOff>104775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060400"/>
          <a:ext cx="7346373" cy="3533775"/>
        </a:xfrm>
        <a:prstGeom prst="rect">
          <a:avLst/>
        </a:prstGeom>
      </xdr:spPr>
    </xdr:pic>
    <xdr:clientData/>
  </xdr:twoCellAnchor>
  <xdr:twoCellAnchor editAs="oneCell">
    <xdr:from>
      <xdr:col>0</xdr:col>
      <xdr:colOff>0</xdr:colOff>
      <xdr:row>174</xdr:row>
      <xdr:rowOff>1</xdr:rowOff>
    </xdr:from>
    <xdr:to>
      <xdr:col>11</xdr:col>
      <xdr:colOff>44450</xdr:colOff>
      <xdr:row>195</xdr:row>
      <xdr:rowOff>95251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9832301"/>
          <a:ext cx="7588250" cy="3695700"/>
        </a:xfrm>
        <a:prstGeom prst="rect">
          <a:avLst/>
        </a:prstGeom>
      </xdr:spPr>
    </xdr:pic>
    <xdr:clientData/>
  </xdr:twoCellAnchor>
  <xdr:twoCellAnchor editAs="oneCell">
    <xdr:from>
      <xdr:col>0</xdr:col>
      <xdr:colOff>1</xdr:colOff>
      <xdr:row>198</xdr:row>
      <xdr:rowOff>0</xdr:rowOff>
    </xdr:from>
    <xdr:to>
      <xdr:col>10</xdr:col>
      <xdr:colOff>381000</xdr:colOff>
      <xdr:row>218</xdr:row>
      <xdr:rowOff>136297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 y="33947100"/>
          <a:ext cx="7238999" cy="35652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618019</xdr:colOff>
      <xdr:row>21</xdr:row>
      <xdr:rowOff>142407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47619" cy="3742857"/>
        </a:xfrm>
        <a:prstGeom prst="rect">
          <a:avLst/>
        </a:prstGeom>
      </xdr:spPr>
    </xdr:pic>
    <xdr:clientData/>
  </xdr:twoCellAnchor>
  <xdr:twoCellAnchor editAs="oneCell">
    <xdr:from>
      <xdr:col>0</xdr:col>
      <xdr:colOff>0</xdr:colOff>
      <xdr:row>22</xdr:row>
      <xdr:rowOff>0</xdr:rowOff>
    </xdr:from>
    <xdr:to>
      <xdr:col>12</xdr:col>
      <xdr:colOff>608495</xdr:colOff>
      <xdr:row>40</xdr:row>
      <xdr:rowOff>56757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8838095" cy="3142857"/>
        </a:xfrm>
        <a:prstGeom prst="rect">
          <a:avLst/>
        </a:prstGeom>
      </xdr:spPr>
    </xdr:pic>
    <xdr:clientData/>
  </xdr:twoCellAnchor>
  <xdr:twoCellAnchor editAs="oneCell">
    <xdr:from>
      <xdr:col>0</xdr:col>
      <xdr:colOff>0</xdr:colOff>
      <xdr:row>41</xdr:row>
      <xdr:rowOff>0</xdr:rowOff>
    </xdr:from>
    <xdr:to>
      <xdr:col>12</xdr:col>
      <xdr:colOff>503733</xdr:colOff>
      <xdr:row>58</xdr:row>
      <xdr:rowOff>171064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733333" cy="3085714"/>
        </a:xfrm>
        <a:prstGeom prst="rect">
          <a:avLst/>
        </a:prstGeom>
      </xdr:spPr>
    </xdr:pic>
    <xdr:clientData/>
  </xdr:twoCellAnchor>
  <xdr:twoCellAnchor editAs="oneCell">
    <xdr:from>
      <xdr:col>0</xdr:col>
      <xdr:colOff>0</xdr:colOff>
      <xdr:row>60</xdr:row>
      <xdr:rowOff>0</xdr:rowOff>
    </xdr:from>
    <xdr:to>
      <xdr:col>12</xdr:col>
      <xdr:colOff>494209</xdr:colOff>
      <xdr:row>77</xdr:row>
      <xdr:rowOff>94874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287000"/>
          <a:ext cx="8723809" cy="3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341400</xdr:colOff>
      <xdr:row>31</xdr:row>
      <xdr:rowOff>113621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00000" cy="5428571"/>
        </a:xfrm>
        <a:prstGeom prst="rect">
          <a:avLst/>
        </a:prstGeom>
      </xdr:spPr>
    </xdr:pic>
    <xdr:clientData/>
  </xdr:twoCellAnchor>
  <xdr:twoCellAnchor editAs="oneCell">
    <xdr:from>
      <xdr:col>0</xdr:col>
      <xdr:colOff>0</xdr:colOff>
      <xdr:row>34</xdr:row>
      <xdr:rowOff>0</xdr:rowOff>
    </xdr:from>
    <xdr:to>
      <xdr:col>17</xdr:col>
      <xdr:colOff>341400</xdr:colOff>
      <xdr:row>66</xdr:row>
      <xdr:rowOff>18362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12000000" cy="5504762"/>
        </a:xfrm>
        <a:prstGeom prst="rect">
          <a:avLst/>
        </a:prstGeom>
      </xdr:spPr>
    </xdr:pic>
    <xdr:clientData/>
  </xdr:twoCellAnchor>
  <xdr:twoCellAnchor editAs="oneCell">
    <xdr:from>
      <xdr:col>0</xdr:col>
      <xdr:colOff>0</xdr:colOff>
      <xdr:row>67</xdr:row>
      <xdr:rowOff>0</xdr:rowOff>
    </xdr:from>
    <xdr:to>
      <xdr:col>17</xdr:col>
      <xdr:colOff>322352</xdr:colOff>
      <xdr:row>99</xdr:row>
      <xdr:rowOff>27886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487150"/>
          <a:ext cx="11980952" cy="5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447675</xdr:colOff>
      <xdr:row>25</xdr:row>
      <xdr:rowOff>149699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63075" cy="4435949"/>
        </a:xfrm>
        <a:prstGeom prst="rect">
          <a:avLst/>
        </a:prstGeom>
      </xdr:spPr>
    </xdr:pic>
    <xdr:clientData/>
  </xdr:twoCellAnchor>
  <xdr:twoCellAnchor editAs="oneCell">
    <xdr:from>
      <xdr:col>0</xdr:col>
      <xdr:colOff>0</xdr:colOff>
      <xdr:row>27</xdr:row>
      <xdr:rowOff>0</xdr:rowOff>
    </xdr:from>
    <xdr:to>
      <xdr:col>5</xdr:col>
      <xdr:colOff>475762</xdr:colOff>
      <xdr:row>47</xdr:row>
      <xdr:rowOff>85286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3904762" cy="3514286"/>
        </a:xfrm>
        <a:prstGeom prst="rect">
          <a:avLst/>
        </a:prstGeom>
      </xdr:spPr>
    </xdr:pic>
    <xdr:clientData/>
  </xdr:twoCellAnchor>
  <xdr:twoCellAnchor editAs="oneCell">
    <xdr:from>
      <xdr:col>6</xdr:col>
      <xdr:colOff>0</xdr:colOff>
      <xdr:row>27</xdr:row>
      <xdr:rowOff>0</xdr:rowOff>
    </xdr:from>
    <xdr:to>
      <xdr:col>11</xdr:col>
      <xdr:colOff>409095</xdr:colOff>
      <xdr:row>53</xdr:row>
      <xdr:rowOff>123252</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4629150"/>
          <a:ext cx="3838095" cy="4580952"/>
        </a:xfrm>
        <a:prstGeom prst="rect">
          <a:avLst/>
        </a:prstGeom>
      </xdr:spPr>
    </xdr:pic>
    <xdr:clientData/>
  </xdr:twoCellAnchor>
  <xdr:twoCellAnchor editAs="oneCell">
    <xdr:from>
      <xdr:col>12</xdr:col>
      <xdr:colOff>0</xdr:colOff>
      <xdr:row>27</xdr:row>
      <xdr:rowOff>0</xdr:rowOff>
    </xdr:from>
    <xdr:to>
      <xdr:col>17</xdr:col>
      <xdr:colOff>466238</xdr:colOff>
      <xdr:row>47</xdr:row>
      <xdr:rowOff>171000</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4629150"/>
          <a:ext cx="3895238" cy="3600000"/>
        </a:xfrm>
        <a:prstGeom prst="rect">
          <a:avLst/>
        </a:prstGeom>
      </xdr:spPr>
    </xdr:pic>
    <xdr:clientData/>
  </xdr:twoCellAnchor>
  <xdr:twoCellAnchor editAs="oneCell">
    <xdr:from>
      <xdr:col>0</xdr:col>
      <xdr:colOff>0</xdr:colOff>
      <xdr:row>53</xdr:row>
      <xdr:rowOff>0</xdr:rowOff>
    </xdr:from>
    <xdr:to>
      <xdr:col>5</xdr:col>
      <xdr:colOff>371000</xdr:colOff>
      <xdr:row>79</xdr:row>
      <xdr:rowOff>75633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086850"/>
          <a:ext cx="3800000" cy="4533333"/>
        </a:xfrm>
        <a:prstGeom prst="rect">
          <a:avLst/>
        </a:prstGeom>
      </xdr:spPr>
    </xdr:pic>
    <xdr:clientData/>
  </xdr:twoCellAnchor>
  <xdr:twoCellAnchor editAs="oneCell">
    <xdr:from>
      <xdr:col>6</xdr:col>
      <xdr:colOff>0</xdr:colOff>
      <xdr:row>54</xdr:row>
      <xdr:rowOff>0</xdr:rowOff>
    </xdr:from>
    <xdr:to>
      <xdr:col>11</xdr:col>
      <xdr:colOff>485286</xdr:colOff>
      <xdr:row>76</xdr:row>
      <xdr:rowOff>9052</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9258300"/>
          <a:ext cx="3914286" cy="3780952"/>
        </a:xfrm>
        <a:prstGeom prst="rect">
          <a:avLst/>
        </a:prstGeom>
      </xdr:spPr>
    </xdr:pic>
    <xdr:clientData/>
  </xdr:twoCellAnchor>
  <xdr:twoCellAnchor editAs="oneCell">
    <xdr:from>
      <xdr:col>12</xdr:col>
      <xdr:colOff>0</xdr:colOff>
      <xdr:row>54</xdr:row>
      <xdr:rowOff>0</xdr:rowOff>
    </xdr:from>
    <xdr:to>
      <xdr:col>17</xdr:col>
      <xdr:colOff>361476</xdr:colOff>
      <xdr:row>75</xdr:row>
      <xdr:rowOff>9074</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9258300"/>
          <a:ext cx="3790476" cy="3609524"/>
        </a:xfrm>
        <a:prstGeom prst="rect">
          <a:avLst/>
        </a:prstGeom>
      </xdr:spPr>
    </xdr:pic>
    <xdr:clientData/>
  </xdr:twoCellAnchor>
  <xdr:twoCellAnchor editAs="oneCell">
    <xdr:from>
      <xdr:col>0</xdr:col>
      <xdr:colOff>0</xdr:colOff>
      <xdr:row>80</xdr:row>
      <xdr:rowOff>0</xdr:rowOff>
    </xdr:from>
    <xdr:to>
      <xdr:col>5</xdr:col>
      <xdr:colOff>437667</xdr:colOff>
      <xdr:row>102</xdr:row>
      <xdr:rowOff>113814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716000"/>
          <a:ext cx="3866667" cy="3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北京市西城区冰窖口胡同1号院4号楼商业用房房地产抵押价值预评估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受贵公司委托，我公司对北京市西城区冰窖口胡同1号院4号楼商业用房房地产抵押价值进行了预评估。</v>
      </c>
    </row>
    <row r="7" spans="1:2" s="1202" customFormat="1">
      <c r="A7" s="1200" t="s">
        <v>566</v>
      </c>
      <c r="B7" s="1201" t="str">
        <f>'预评函-1'!A7</f>
        <v>估价对象为北京市西城区冰窖口胡同1号院4号楼商业用房房地产，为所有。根据《国有土地使用证》[]，估价对象（分摊）出让国有建设用地使用权面积为0平方米，建筑面积为930.35平方米。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西城区冰窖口胡同1号院4号楼商业用房房地产,属开发建设的，该项目尚在开发建设中。根据《国有土地使用证》[]，估价对象（分摊）出让国有建设用地使用权面积为0平方米，规划建筑面积为930.35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西城区冰窖口胡同1号院4号楼商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2024年9月19日（评估专业人员实地查勘之日）</v>
      </c>
    </row>
    <row r="13" spans="1:2" s="1202" customFormat="1">
      <c r="A13" s="1200" t="s">
        <v>529</v>
      </c>
      <c r="B13" s="1201" t="str">
        <f>'预评函-1'!A18</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4267</v>
      </c>
    </row>
    <row r="21" spans="1:2" s="1202" customFormat="1">
      <c r="A21" s="1200" t="s">
        <v>537</v>
      </c>
      <c r="B21" s="1201">
        <f ca="1">'预评函-2'!D7</f>
        <v>45867</v>
      </c>
    </row>
    <row r="22" spans="1:2" s="1202" customFormat="1">
      <c r="A22" s="1200" t="s">
        <v>538</v>
      </c>
      <c r="B22" s="1201" t="str">
        <f ca="1">'预评函-2'!D6</f>
        <v>肆仟贰佰陆拾柒万元整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4267</v>
      </c>
    </row>
    <row r="31" spans="1:2" s="1202" customFormat="1">
      <c r="A31" s="1200" t="s">
        <v>576</v>
      </c>
      <c r="B31" s="1201">
        <f ca="1">'预评函-2'!D15</f>
        <v>45867</v>
      </c>
    </row>
    <row r="32" spans="1:2" s="1202" customFormat="1">
      <c r="A32" s="1200" t="s">
        <v>543</v>
      </c>
      <c r="B32" s="1201" t="str">
        <f ca="1">'预评函-2'!D14</f>
        <v>肆仟贰佰陆拾柒万元整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北京市西城区冰窖口胡同1号院4号楼商业用房房地产</v>
      </c>
    </row>
    <row r="42" spans="1:2" s="1202" customFormat="1">
      <c r="A42" s="1200" t="s">
        <v>590</v>
      </c>
      <c r="B42" s="1201" t="str">
        <f>'预评函-3'!B2</f>
        <v>建筑面积</v>
      </c>
    </row>
    <row r="43" spans="1:2" s="1202" customFormat="1">
      <c r="A43" s="1200" t="s">
        <v>591</v>
      </c>
      <c r="B43" s="1201">
        <f>'预评函-3'!B4</f>
        <v>930.34999999999991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3845</v>
      </c>
    </row>
    <row r="48" spans="1:2" s="1202" customFormat="1">
      <c r="A48" s="1200" t="s">
        <v>549</v>
      </c>
      <c r="B48" s="1201">
        <f ca="1">'预评函-3'!E4</f>
        <v>41326</v>
      </c>
    </row>
    <row r="49" spans="1:2" s="1202" customFormat="1">
      <c r="A49" s="1200" t="s">
        <v>550</v>
      </c>
      <c r="B49" s="1201" t="str">
        <f ca="1">'预评函-3'!D5</f>
        <v>叁仟捌佰肆拾伍万元整</v>
      </c>
    </row>
    <row r="50" spans="1:2" s="1202" customFormat="1">
      <c r="A50" s="1200" t="s">
        <v>574</v>
      </c>
      <c r="B50" s="1201" t="str">
        <f>'预评函-3'!F2</f>
        <v>在建建筑物价值</v>
      </c>
    </row>
    <row r="51" spans="1:2" s="1202" customFormat="1">
      <c r="A51" s="1200" t="s">
        <v>551</v>
      </c>
      <c r="B51" s="1201">
        <f ca="1">'预评函-3'!F4</f>
        <v>422</v>
      </c>
    </row>
    <row r="52" spans="1:2" s="1202" customFormat="1">
      <c r="A52" s="1200" t="s">
        <v>552</v>
      </c>
      <c r="B52" s="1201">
        <f ca="1">'预评函-3'!G4</f>
        <v>4541</v>
      </c>
    </row>
    <row r="53" spans="1:2" s="1202" customFormat="1">
      <c r="A53" s="1200" t="s">
        <v>580</v>
      </c>
      <c r="B53" s="1201" t="str">
        <f ca="1">'预评函-3'!F5</f>
        <v>肆佰贰拾贰万元整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2578</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2579</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2292</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冰窖口胡同1号院4号楼商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5" t="s">
        <v>2594</v>
      </c>
      <c r="J1" s="3225"/>
      <c r="K1" s="3225"/>
      <c r="L1" s="3225"/>
      <c r="M1" s="3225"/>
      <c r="N1" s="3436"/>
      <c r="O1" s="3436"/>
      <c r="P1" s="3436"/>
      <c r="Q1" s="3436"/>
      <c r="R1" s="3436"/>
    </row>
    <row r="2" spans="1:18">
      <c r="A2" s="3016"/>
      <c r="B2" s="3017"/>
      <c r="C2" s="3017"/>
      <c r="D2" s="3017"/>
      <c r="E2" s="3017"/>
      <c r="F2" s="3018"/>
      <c r="I2" s="3508" t="s">
        <v>2581</v>
      </c>
      <c r="J2" s="3508"/>
      <c r="K2" s="3508"/>
      <c r="L2" s="3508"/>
      <c r="M2" s="3508"/>
      <c r="N2" s="3508"/>
      <c r="O2" s="3508"/>
      <c r="P2" s="3508"/>
      <c r="Q2" s="3508"/>
      <c r="R2" s="3508"/>
    </row>
    <row r="3" spans="1:18">
      <c r="A3" s="3019" t="s">
        <v>2502</v>
      </c>
      <c r="B3" s="3020">
        <f>项目基本情况!D3</f>
        <v>45554</v>
      </c>
      <c r="C3" s="3022"/>
      <c r="D3" s="3022"/>
      <c r="E3" s="3022"/>
      <c r="F3" s="3018"/>
      <c r="I3" s="3437"/>
      <c r="J3" s="3437" t="s">
        <v>2585</v>
      </c>
      <c r="K3" s="3437" t="s">
        <v>2586</v>
      </c>
      <c r="L3" s="3437" t="s">
        <v>2587</v>
      </c>
      <c r="M3" s="3437" t="s">
        <v>2588</v>
      </c>
      <c r="N3" s="3438" t="s">
        <v>2589</v>
      </c>
      <c r="O3" s="3438" t="s">
        <v>2590</v>
      </c>
      <c r="P3" s="3438" t="s">
        <v>2591</v>
      </c>
      <c r="Q3" s="3438" t="s">
        <v>2592</v>
      </c>
      <c r="R3" s="3438" t="s">
        <v>2593</v>
      </c>
    </row>
    <row r="4" spans="1:18">
      <c r="A4" s="3019" t="s">
        <v>2503</v>
      </c>
      <c r="B4" s="3022" t="s">
        <v>2504</v>
      </c>
      <c r="C4" s="3022" t="s">
        <v>2505</v>
      </c>
      <c r="D4" s="3022" t="s">
        <v>2506</v>
      </c>
      <c r="E4" s="3022" t="s">
        <v>2507</v>
      </c>
      <c r="F4" s="3018"/>
      <c r="I4" s="3437" t="s">
        <v>2582</v>
      </c>
      <c r="J4" s="3437">
        <v>80</v>
      </c>
      <c r="K4" s="3437">
        <v>70</v>
      </c>
      <c r="L4" s="3437">
        <v>20</v>
      </c>
      <c r="M4" s="3437">
        <v>30</v>
      </c>
      <c r="N4" s="3022">
        <v>45</v>
      </c>
      <c r="O4" s="3022">
        <v>60</v>
      </c>
      <c r="P4" s="3022">
        <v>50</v>
      </c>
      <c r="Q4" s="3022">
        <v>20</v>
      </c>
      <c r="R4" s="3022">
        <v>375</v>
      </c>
    </row>
    <row r="5" spans="1:18">
      <c r="A5" s="3023">
        <v>40</v>
      </c>
      <c r="B5" s="3020">
        <v>46375</v>
      </c>
      <c r="C5" s="3022">
        <f>ROUNDDOWN(MIN((B5-B3)/365,A5),2)</f>
        <v>2.2400000000000002</v>
      </c>
      <c r="D5" s="3024">
        <f>IF(ISERROR(ROUND(POWER(1+E5,A5-C5)*(POWER(1+E5,C5)-1)/(POWER(1+E5,A5)-1),3)),0,ROUND(POWER(1+E5,A5-C5)*(POWER(1+E5,C5)-1)/(POWER(1+E5,A5)-1),4))</f>
        <v>0.1062</v>
      </c>
      <c r="E5" s="3025">
        <v>0.04</v>
      </c>
      <c r="F5" s="3018"/>
      <c r="I5" s="3437" t="s">
        <v>2583</v>
      </c>
      <c r="J5" s="3437">
        <v>70</v>
      </c>
      <c r="K5" s="3437">
        <v>60</v>
      </c>
      <c r="L5" s="3437">
        <v>15</v>
      </c>
      <c r="M5" s="3437">
        <v>25</v>
      </c>
      <c r="N5" s="3022">
        <v>40</v>
      </c>
      <c r="O5" s="3022">
        <v>50</v>
      </c>
      <c r="P5" s="3022">
        <v>40</v>
      </c>
      <c r="Q5" s="3022">
        <v>15</v>
      </c>
      <c r="R5" s="3022">
        <v>315</v>
      </c>
    </row>
    <row r="6" spans="1:18">
      <c r="A6" s="3023">
        <v>50</v>
      </c>
      <c r="B6" s="3020">
        <v>50028</v>
      </c>
      <c r="C6" s="3022">
        <f>ROUNDDOWN(MIN((B6-B3)/365,A6),2)</f>
        <v>12.25</v>
      </c>
      <c r="D6" s="3024">
        <f>IF(ISERROR(ROUND(POWER(1+E6,A6-C6)*(POWER(1+E6,C6)-1)/(POWER(1+E6,A6)-1),3)),0,ROUND(POWER(1+E6,A6-C6)*(POWER(1+E6,C6)-1)/(POWER(1+E6,A6)-1),4))</f>
        <v>0.44400000000000001</v>
      </c>
      <c r="E6" s="3025">
        <v>0.04</v>
      </c>
      <c r="F6" s="3018"/>
      <c r="I6" s="3437" t="s">
        <v>2584</v>
      </c>
      <c r="J6" s="3437">
        <v>60</v>
      </c>
      <c r="K6" s="3437">
        <v>50</v>
      </c>
      <c r="L6" s="3437">
        <v>10</v>
      </c>
      <c r="M6" s="3437">
        <v>20</v>
      </c>
      <c r="N6" s="3022">
        <v>35</v>
      </c>
      <c r="O6" s="3022">
        <v>40</v>
      </c>
      <c r="P6" s="3022">
        <v>30</v>
      </c>
      <c r="Q6" s="3022">
        <v>10</v>
      </c>
      <c r="R6" s="3022">
        <v>255</v>
      </c>
    </row>
    <row r="7" spans="1:18">
      <c r="A7" s="3023">
        <v>70</v>
      </c>
      <c r="B7" s="3020">
        <v>57333</v>
      </c>
      <c r="C7" s="3022">
        <f>ROUNDDOWN(MIN((B7-B3)/365,A7),2)</f>
        <v>32.270000000000003</v>
      </c>
      <c r="D7" s="3024">
        <f>IF(ISERROR(ROUND(POWER(1+E7,A7-C7)*(POWER(1+E7,C7)-1)/(POWER(1+E7,A7)-1),3)),0,ROUND(POWER(1+E7,A7-C7)*(POWER(1+E7,C7)-1)/(POWER(1+E7,A7)-1),4))</f>
        <v>0.76719999999999999</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H7" sqref="H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北京市西城区冰窖口胡同1号院4号楼商业用房房地产抵押价值预评估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北京市西城区冰窖口胡同1号院4号楼商业用房房地产抵押价值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北京市西城区冰窖口胡同1号院4号楼商业用房房地产</v>
      </c>
      <c r="T2" s="1744"/>
      <c r="U2" s="1744"/>
      <c r="V2" s="1744"/>
      <c r="W2" s="1744"/>
      <c r="X2" s="1744"/>
      <c r="Y2" s="1744"/>
      <c r="Z2" s="1744"/>
      <c r="AA2" s="1744"/>
      <c r="AB2" s="1744"/>
    </row>
    <row r="3" spans="1:30">
      <c r="A3" s="302" t="s">
        <v>2169</v>
      </c>
      <c r="B3" s="2372">
        <v>45554</v>
      </c>
      <c r="C3" s="2373" t="s">
        <v>2170</v>
      </c>
      <c r="D3" s="2372">
        <f>B3</f>
        <v>45554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3383</v>
      </c>
      <c r="C8" s="2389"/>
      <c r="D8" s="3520" t="s">
        <v>2176</v>
      </c>
      <c r="E8" s="2390" t="s">
        <v>3384</v>
      </c>
      <c r="F8" s="2391"/>
      <c r="G8" s="2662"/>
      <c r="H8" s="2662"/>
      <c r="I8" s="2662"/>
      <c r="J8" s="2438"/>
      <c r="K8" s="2613"/>
      <c r="L8" s="2612"/>
      <c r="M8" s="2612"/>
      <c r="N8" s="2438"/>
      <c r="O8" s="2449"/>
      <c r="P8" s="2438"/>
      <c r="Q8" s="2438"/>
      <c r="R8" s="2438"/>
    </row>
    <row r="9" spans="1:30" ht="13.5" thickBot="1">
      <c r="A9" s="2392" t="s">
        <v>2177</v>
      </c>
      <c r="B9" s="2393" t="s">
        <v>3384</v>
      </c>
      <c r="C9" s="2394"/>
      <c r="D9" s="3521"/>
      <c r="E9" s="2393"/>
      <c r="F9" s="2395"/>
      <c r="G9" s="2664"/>
      <c r="H9" s="2664"/>
      <c r="I9" s="2664"/>
      <c r="J9" s="2438"/>
      <c r="K9" s="2615"/>
      <c r="L9" s="2612"/>
      <c r="M9" s="2612"/>
      <c r="N9" s="2438"/>
      <c r="O9" s="2449"/>
      <c r="P9" s="2438"/>
      <c r="Q9" s="2438"/>
      <c r="R9" s="2438"/>
    </row>
    <row r="10" spans="1:30" ht="13.5" thickTop="1">
      <c r="A10" s="2396" t="s">
        <v>2178</v>
      </c>
      <c r="B10" s="2397" t="s">
        <v>3385</v>
      </c>
      <c r="C10" s="2398"/>
      <c r="D10" s="2381"/>
      <c r="E10" s="2399" t="s">
        <v>2179</v>
      </c>
      <c r="F10" s="2665" t="s">
        <v>3513</v>
      </c>
      <c r="G10" s="2666"/>
      <c r="H10" s="2667"/>
      <c r="I10" s="2668"/>
      <c r="J10" s="2438"/>
      <c r="K10" s="2615"/>
      <c r="L10" s="2612"/>
      <c r="M10" s="2612"/>
      <c r="N10" s="2438"/>
      <c r="O10" s="2449"/>
      <c r="P10" s="2438"/>
      <c r="Q10" s="2438"/>
      <c r="R10" s="2438"/>
    </row>
    <row r="11" spans="1:30">
      <c r="A11" s="2400" t="s">
        <v>2180</v>
      </c>
      <c r="B11" s="2401" t="s">
        <v>3386</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2577</v>
      </c>
      <c r="J12" s="3061"/>
      <c r="K12" s="2612"/>
      <c r="L12" s="2612"/>
      <c r="M12" s="2438"/>
      <c r="N12" s="2449"/>
      <c r="O12" s="2438"/>
      <c r="P12" s="2438"/>
      <c r="Q12" s="2438"/>
      <c r="AD12" s="1744"/>
    </row>
    <row r="13" spans="1:30">
      <c r="A13" s="3421" t="s">
        <v>3333</v>
      </c>
      <c r="B13" s="2406" t="s">
        <v>2189</v>
      </c>
      <c r="C13" s="855"/>
      <c r="D13" s="3809">
        <v>53950</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930.34999999999991</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2580</v>
      </c>
      <c r="G36" s="2663"/>
      <c r="H36" s="2663"/>
      <c r="I36" s="2663"/>
      <c r="J36" s="2438"/>
      <c r="K36" s="2615"/>
      <c r="L36" s="2612"/>
      <c r="M36" s="2612"/>
      <c r="N36" s="2438"/>
      <c r="O36" s="2449"/>
      <c r="P36" s="2438"/>
      <c r="Q36" s="2438"/>
      <c r="R36" s="2438"/>
      <c r="S36" s="2438"/>
      <c r="T36" s="2438"/>
      <c r="U36" s="2438"/>
      <c r="V36" s="2438"/>
    </row>
    <row r="37" spans="1:30">
      <c r="A37" s="2629" t="s">
        <v>2229</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111</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930.34999999999991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930.34999999999991</v>
      </c>
      <c r="H5" s="13">
        <f t="shared" ref="H5:AT5" si="0">SUM(H13:H656)</f>
        <v>930.34999999999991</v>
      </c>
      <c r="I5" s="13">
        <f t="shared" si="0"/>
        <v>930.34999999999991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930.34999999999991</v>
      </c>
      <c r="BA5" s="15">
        <f t="shared" si="1"/>
        <v>930.34999999999991</v>
      </c>
      <c r="BB5" s="15">
        <f t="shared" si="1"/>
        <v>930.34999999999991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3389</v>
      </c>
      <c r="D13" s="1624" t="s">
        <v>3388</v>
      </c>
      <c r="E13" s="13">
        <f>IF($C$3="是",ROUND($A$3*G13/$B$3,2),ROUND($A$3*(G13-AT13)/$B$3,2))</f>
        <v>0</v>
      </c>
      <c r="F13" s="29"/>
      <c r="G13" s="30">
        <f>H13+AC13+AT13</f>
        <v>186.07</v>
      </c>
      <c r="H13" s="17">
        <f>SUMIF(I$12:AB$12,"总值",I13:AB13)</f>
        <v>186.07</v>
      </c>
      <c r="I13" s="1625">
        <v>186.07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v>
      </c>
      <c r="AY13" s="1348">
        <f>ROUND($AY$6*AZ13/$AZ$5,2)</f>
        <v>0</v>
      </c>
      <c r="AZ13" s="13">
        <f>BA13+BL13</f>
        <v>186.07</v>
      </c>
      <c r="BA13" s="13">
        <f>SUM(BB13:BK13)</f>
        <v>186.07</v>
      </c>
      <c r="BB13" s="13">
        <f>IF($D13="是",I13-J13,0)</f>
        <v>186.07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
        <v>3390</v>
      </c>
      <c r="D14" s="1624" t="s">
        <v>3388</v>
      </c>
      <c r="E14" s="13">
        <f>IF($C$3="是",ROUND($A$3*G14/$B$3,2),ROUND($A$3*(G14-AT14)/$B$3,2))</f>
        <v>0</v>
      </c>
      <c r="F14" s="29"/>
      <c r="G14" s="30">
        <f>H14+AC14+AT14</f>
        <v>186.07</v>
      </c>
      <c r="H14" s="17">
        <f>SUMIF(I$12:AB$12,"总值",I14:AB14)</f>
        <v>186.07</v>
      </c>
      <c r="I14" s="1625">
        <v>186.07</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0</v>
      </c>
      <c r="AZ14" s="13">
        <f>BA14+BL14</f>
        <v>186.07</v>
      </c>
      <c r="BA14" s="13">
        <f>SUM(BB14:BK14)</f>
        <v>186.07</v>
      </c>
      <c r="BB14" s="13">
        <f>IF($D14="是",I14-J14,0)</f>
        <v>186.07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
        <v>3391</v>
      </c>
      <c r="D15" s="1624" t="s">
        <v>3388</v>
      </c>
      <c r="E15" s="13">
        <f>IF($C$3="是",ROUND($A$3*G15/$B$3,2),ROUND($A$3*(G15-AT15)/$B$3,2))</f>
        <v>0</v>
      </c>
      <c r="F15" s="29"/>
      <c r="G15" s="30">
        <f>H15+AC15+AT15</f>
        <v>186.07</v>
      </c>
      <c r="H15" s="17">
        <f>SUMIF(I$12:AB$12,"总值",I15:AB15)</f>
        <v>186.07</v>
      </c>
      <c r="I15" s="1625">
        <v>186.07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v>
      </c>
      <c r="AY15" s="1348">
        <f>ROUND($AY$6*AZ15/$AZ$5,2)</f>
        <v>0</v>
      </c>
      <c r="AZ15" s="13">
        <f>BA15+BL15</f>
        <v>186.07</v>
      </c>
      <c r="BA15" s="13">
        <f>SUM(BB15:BK15)</f>
        <v>186.07</v>
      </c>
      <c r="BB15" s="13">
        <f>IF($D15="是",I15-J15,0)</f>
        <v>186.07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
        <v>3392</v>
      </c>
      <c r="D16" s="1624" t="s">
        <v>3388</v>
      </c>
      <c r="E16" s="13">
        <f>IF($C$3="是",ROUND($A$3*G16/$B$3,2),ROUND($A$3*(G16-AT16)/$B$3,2))</f>
        <v>0</v>
      </c>
      <c r="F16" s="29"/>
      <c r="G16" s="30">
        <f>H16+AC16+AT16</f>
        <v>186.07</v>
      </c>
      <c r="H16" s="17">
        <f>SUMIF(I$12:AB$12,"总值",I16:AB16)</f>
        <v>186.07</v>
      </c>
      <c r="I16" s="1625">
        <v>186.07</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4层</v>
      </c>
      <c r="AY16" s="1348">
        <f>ROUND($AY$6*AZ16/$AZ$5,2)</f>
        <v>0</v>
      </c>
      <c r="AZ16" s="13">
        <f>BA16+BL16</f>
        <v>186.07</v>
      </c>
      <c r="BA16" s="13">
        <f>SUM(BB16:BK16)</f>
        <v>186.07</v>
      </c>
      <c r="BB16" s="13">
        <f>IF($D16="是",I16-J16,0)</f>
        <v>186.07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t="s">
        <v>3393</v>
      </c>
      <c r="D17" s="1624" t="s">
        <v>3388</v>
      </c>
      <c r="E17" s="13">
        <f>IF($C$3="是",ROUND($A$3*G17/$B$3,2),ROUND($A$3*(G17-AT17)/$B$3,2))</f>
        <v>0</v>
      </c>
      <c r="F17" s="29"/>
      <c r="G17" s="30">
        <f>H17+AC17+AT17</f>
        <v>186.07</v>
      </c>
      <c r="H17" s="17">
        <f>SUMIF(I$12:AB$12,"总值",I17:AB17)</f>
        <v>186.07</v>
      </c>
      <c r="I17" s="1625">
        <v>186.07</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5层</v>
      </c>
      <c r="AY17" s="1348">
        <f>ROUND($AY$6*AZ17/$AZ$5,2)</f>
        <v>0</v>
      </c>
      <c r="AZ17" s="13">
        <f>BA17+BL17</f>
        <v>186.07</v>
      </c>
      <c r="BA17" s="13">
        <f>SUM(BB17:BK17)</f>
        <v>186.07</v>
      </c>
      <c r="BB17" s="13">
        <f>IF($D17="是",I17-J17,0)</f>
        <v>186.07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930.34999999999991</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930.34999999999991</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930.34999999999991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930.34999999999991</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3396</v>
      </c>
      <c r="D19" s="45">
        <f>ROUND($D$3*E19/$E$3,2)</f>
        <v>0</v>
      </c>
      <c r="E19" s="53">
        <f t="shared" ref="E19:E26" si="1">SUM(F19:G19)</f>
        <v>930.34999999999991</v>
      </c>
      <c r="F19" s="2794">
        <f>'数据-基础表'!B3</f>
        <v>930.34999999999991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930.34999999999991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930.34999999999991</v>
      </c>
      <c r="F27" s="1139">
        <f>IF(SUM(F19:F26)=E8,SUM(F19:F26),"地上面积有误")</f>
        <v>930.34999999999991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930.34999999999991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930.34999999999991</v>
      </c>
      <c r="F31" s="676">
        <f>F27+F30</f>
        <v>930.34999999999991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29"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45554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商业1-5层</v>
      </c>
      <c r="B6" s="1712" t="str">
        <f>IF(A6=0,"","经营性")</f>
        <v>经营性</v>
      </c>
      <c r="C6" s="1713" t="s">
        <v>673</v>
      </c>
      <c r="D6" s="857">
        <f>SUMIF(项目基本情况!C$12:I$12,C6,项目基本情况!C$14:I$14)</f>
        <v>40</v>
      </c>
      <c r="E6" s="856">
        <f>IF(B6="","",SUMIF(项目基本情况!C$12:I$12,C6,项目基本情况!C$13:I$13))</f>
        <v>53950</v>
      </c>
      <c r="F6" s="64">
        <f>SUMIF(项目基本情况!C$12:I$12,C6,项目基本情况!C$15:I$15)</f>
        <v>23</v>
      </c>
      <c r="G6" s="65">
        <f>IF(ISERROR(ROUND(POWER(1+H6,D6-F6)*(POWER(1+H6,F6)-1)/(POWER(1+H6,D6)-1),3)),0,ROUND(POWER(1+H6,D6-F6)*(POWER(1+H6,F6)-1)/(POWER(1+H6,D6)-1),3))</f>
        <v>0.78600000000000003</v>
      </c>
      <c r="H6" s="731">
        <v>0.05</v>
      </c>
      <c r="I6" s="731">
        <v>5.5E-2</v>
      </c>
      <c r="J6" s="66">
        <v>7.0000000000000007E-2</v>
      </c>
      <c r="K6" s="1029">
        <f>SUMIF('数据-汇总表'!C$19:C$33,A6,'数据-汇总表'!E$19:E$33)</f>
        <v>930.34999999999991</v>
      </c>
      <c r="L6" s="732">
        <v>4000</v>
      </c>
      <c r="M6" s="67">
        <f t="shared" ref="M6:M14" si="0">ROUND(K6*L6/10000,0)</f>
        <v>372</v>
      </c>
      <c r="N6" s="730">
        <f>ROUND(1-(1-0%)*(2024-N19)/60,2)</f>
        <v>0.75</v>
      </c>
      <c r="O6" s="67" t="str">
        <f>IF($N$5="成新度","——",ROUND(M6*N6,0))</f>
        <v>——</v>
      </c>
      <c r="P6" s="68" t="str">
        <f>IF($N$5="成新度","——",M6-O6)</f>
        <v>——</v>
      </c>
      <c r="Q6" s="733">
        <v>0.25</v>
      </c>
      <c r="R6" s="69">
        <f ca="1">SUMIF('数据-汇总表'!C$19:C$33,A6,'数据-汇总表'!R$19:R$27)</f>
        <v>0</v>
      </c>
      <c r="S6" s="51">
        <f>IF('数据-汇总表'!$I$17="按面积比例",SUMIF('数据-汇总表'!C$19:C$33,A6,'数据-汇总表'!K$19:K$33),SUMIF('数据-汇总表'!C$19:C$33,A6,'数据-汇总表'!N$19:N$33))</f>
        <v>0</v>
      </c>
      <c r="T6" s="1171">
        <f>ROUND($L$14*S6/10000,0)</f>
        <v>0</v>
      </c>
      <c r="U6" s="3426">
        <v>8.5</v>
      </c>
      <c r="V6" s="70">
        <v>0.02</v>
      </c>
      <c r="W6" s="70">
        <v>0.1</v>
      </c>
      <c r="X6" s="1039"/>
      <c r="Y6" s="71">
        <f>N6</f>
        <v>0.75</v>
      </c>
      <c r="Z6" s="72"/>
      <c r="AA6" s="66"/>
      <c r="AB6" s="66"/>
      <c r="AC6" s="1039"/>
      <c r="AD6" s="73"/>
      <c r="AE6" s="1040">
        <f ca="1">IF(AN6="",0,SUMIF(INDIRECT("'"&amp;AN6&amp;"'"&amp;"!E:E"),$AE$5,INDIRECT("'"&amp;AN6&amp;"'"&amp;"!F:F")))</f>
        <v>23</v>
      </c>
      <c r="AF6" s="1347"/>
      <c r="AG6" s="138">
        <f>IF(AF6="",0,AE6-AF6)</f>
        <v>0</v>
      </c>
      <c r="AH6" s="74"/>
      <c r="AI6" s="76">
        <v>365</v>
      </c>
      <c r="AJ6" s="77"/>
      <c r="AK6" s="78">
        <v>5.0000000000000001E-3</v>
      </c>
      <c r="AL6" s="79">
        <v>1E-3</v>
      </c>
      <c r="AM6" s="80">
        <v>0.01</v>
      </c>
      <c r="AN6" s="1714" t="s">
        <v>3402</v>
      </c>
      <c r="AO6" s="52">
        <f ca="1">SUMIF(INDIRECT("'"&amp;AN6&amp;"'"&amp;"!A:A"),"总价",INDIRECT("'"&amp;AN6&amp;"'"&amp;"!B:B"))</f>
        <v>3500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0.78600000000000003</v>
      </c>
      <c r="H16" s="90">
        <f>ROUND(SUMPRODUCT(H6:H13,K6:K13)/SUMPRODUCT((H6:H13&gt;0)*(K6:K13)),3)</f>
        <v>0.05</v>
      </c>
      <c r="I16" s="91"/>
      <c r="J16" s="91"/>
      <c r="K16" s="92">
        <f>SUM(K6:K15)</f>
        <v>930.34999999999991</v>
      </c>
      <c r="L16" s="93">
        <f>ROUND(M16*10000/SUM(K6:K14),0)</f>
        <v>3998</v>
      </c>
      <c r="M16" s="93">
        <f>SUM(M6:M14)</f>
        <v>372</v>
      </c>
      <c r="N16" s="94">
        <f>ROUND(SUMPRODUCT(M6:M14,N6:N14)/M16,3)</f>
        <v>0.75</v>
      </c>
      <c r="O16" s="93">
        <f>SUM(O6:O14)</f>
        <v>0</v>
      </c>
      <c r="P16" s="93">
        <f>SUM(P6:P14)</f>
        <v>0</v>
      </c>
      <c r="Q16" s="95">
        <f>ROUND(SUMPRODUCT(Q6:Q13,K6:K13)/SUMPRODUCT((Q6:Q13&gt;0)*(K6:K13)),2)</f>
        <v>0.25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f>Q6/B20</f>
        <v>0.125</v>
      </c>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v>5.4</v>
      </c>
      <c r="I18" s="2672">
        <v>5.5</v>
      </c>
      <c r="J18" s="2672">
        <v>7</v>
      </c>
      <c r="K18" s="2671"/>
      <c r="L18" s="2671">
        <v>4000</v>
      </c>
      <c r="M18" s="2670"/>
      <c r="N18" s="2670"/>
      <c r="O18" s="2670"/>
      <c r="P18" s="2670"/>
      <c r="Q18" s="2670">
        <v>25</v>
      </c>
      <c r="R18" s="2670"/>
      <c r="S18" s="2670"/>
      <c r="T18" s="2670"/>
      <c r="U18" s="2670">
        <v>8.5</v>
      </c>
      <c r="V18" s="2670">
        <v>3</v>
      </c>
      <c r="W18" s="2670">
        <v>10</v>
      </c>
      <c r="X18" s="2670"/>
      <c r="Y18" s="2670"/>
      <c r="Z18" s="2670"/>
      <c r="AA18" s="2670"/>
      <c r="AB18" s="2670"/>
      <c r="AC18" s="2670"/>
      <c r="AD18" s="2670"/>
      <c r="AE18" s="2670"/>
      <c r="AF18" s="2670"/>
      <c r="AG18" s="2670"/>
      <c r="AH18" s="2670"/>
      <c r="AI18" s="2670"/>
      <c r="AJ18" s="2670"/>
      <c r="AK18" s="2670">
        <v>1.5</v>
      </c>
      <c r="AL18" s="2670">
        <v>0.15</v>
      </c>
      <c r="AM18" s="2670">
        <v>1.5</v>
      </c>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3454" t="s">
        <v>3387</v>
      </c>
      <c r="N19" s="2670">
        <v>2009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v>1.5</v>
      </c>
      <c r="E21" s="2672"/>
      <c r="F21" s="2672"/>
      <c r="G21" s="2672"/>
      <c r="H21" s="2672"/>
      <c r="I21" s="2672"/>
      <c r="J21" s="2672"/>
      <c r="K21" s="2671"/>
      <c r="L21" s="2671"/>
      <c r="M21" s="2670"/>
      <c r="N21" s="2670"/>
      <c r="O21" s="2670"/>
      <c r="P21" s="2670"/>
      <c r="Q21" s="2670"/>
      <c r="R21" s="2670"/>
      <c r="S21" s="3456" t="s">
        <v>3426</v>
      </c>
      <c r="T21" s="3456" t="s">
        <v>3427</v>
      </c>
      <c r="U21" s="3456" t="s">
        <v>3428</v>
      </c>
      <c r="V21" s="3456" t="s">
        <v>3429</v>
      </c>
      <c r="W21" s="2671"/>
      <c r="X21" s="3456" t="s">
        <v>3431</v>
      </c>
      <c r="Y21" s="2671"/>
      <c r="Z21" s="2671"/>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1">
        <v>1</v>
      </c>
      <c r="T22" s="2671">
        <f>'数据-基础表'!I13</f>
        <v>186.07</v>
      </c>
      <c r="U22" s="2671">
        <v>1</v>
      </c>
      <c r="V22" s="2671">
        <f>'比较法-租金商业'!C49</f>
        <v>13.2</v>
      </c>
      <c r="W22" s="2671">
        <f>T22*V22</f>
        <v>2456.1239999999998</v>
      </c>
      <c r="X22" s="2671">
        <v>110000</v>
      </c>
      <c r="Y22" s="2671"/>
      <c r="Z22" s="2671">
        <f>V22*365/X22</f>
        <v>4.3799999999999999E-2</v>
      </c>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1">
        <v>2</v>
      </c>
      <c r="T23" s="2671">
        <f>'数据-基础表'!I14</f>
        <v>186.07</v>
      </c>
      <c r="U23" s="2671">
        <v>0.7</v>
      </c>
      <c r="V23" s="2671">
        <f>$V$22*U23</f>
        <v>9.2399999999999984</v>
      </c>
      <c r="W23" s="2671">
        <f t="shared" ref="W23:W26" si="12">T23*V23</f>
        <v>1719.2867999999996</v>
      </c>
      <c r="X23" s="2671"/>
      <c r="Y23" s="2671"/>
      <c r="Z23" s="2671"/>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1">
        <v>3</v>
      </c>
      <c r="T24" s="2671">
        <f>'数据-基础表'!I15</f>
        <v>186.07</v>
      </c>
      <c r="U24" s="2671">
        <v>0.6</v>
      </c>
      <c r="V24" s="2671">
        <f t="shared" ref="V24:V26" si="13">$V$22*U24</f>
        <v>7.919999999999999</v>
      </c>
      <c r="W24" s="2671">
        <f t="shared" si="12"/>
        <v>1473.6743999999999</v>
      </c>
      <c r="X24" s="2671"/>
      <c r="Y24" s="2671"/>
      <c r="Z24" s="2671"/>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1">
        <v>4</v>
      </c>
      <c r="T25" s="2671">
        <f>'数据-基础表'!I16</f>
        <v>186.07</v>
      </c>
      <c r="U25" s="2671">
        <v>0.5</v>
      </c>
      <c r="V25" s="2671">
        <f t="shared" si="13"/>
        <v>6.6</v>
      </c>
      <c r="W25" s="2671">
        <f t="shared" si="12"/>
        <v>1228.0619999999999</v>
      </c>
      <c r="X25" s="2671"/>
      <c r="Y25" s="2671"/>
      <c r="Z25" s="2671"/>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1">
        <v>5</v>
      </c>
      <c r="T26" s="2671">
        <f>'数据-基础表'!I17</f>
        <v>186.07</v>
      </c>
      <c r="U26" s="2671">
        <v>0.5</v>
      </c>
      <c r="V26" s="2671">
        <f t="shared" si="13"/>
        <v>6.6</v>
      </c>
      <c r="W26" s="2671">
        <f t="shared" si="12"/>
        <v>1228.0619999999999</v>
      </c>
      <c r="X26" s="2671"/>
      <c r="Y26" s="2671"/>
      <c r="Z26" s="2671"/>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2671"/>
      <c r="T27" s="2671">
        <f>T22+T23+T24+T25+T26</f>
        <v>930.34999999999991</v>
      </c>
      <c r="U27" s="2671"/>
      <c r="V27" s="2671">
        <f>ROUND(W27/T27,1)</f>
        <v>8.6999999999999993</v>
      </c>
      <c r="W27" s="2671">
        <f t="shared" ref="W27" si="14">W22+W23+W24+W25+W26</f>
        <v>8105.2091999999993</v>
      </c>
      <c r="X27" s="2671"/>
      <c r="Y27" s="2671"/>
      <c r="Z27" s="2671"/>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19</v>
      </c>
      <c r="C29" s="2801" t="s">
        <v>2293</v>
      </c>
      <c r="D29" s="2678"/>
      <c r="E29" s="2660"/>
      <c r="F29" s="2660"/>
      <c r="G29" s="2672"/>
      <c r="H29" s="2672"/>
      <c r="I29" s="2672"/>
      <c r="J29" s="2672"/>
      <c r="K29" s="2671"/>
      <c r="L29" s="2671"/>
      <c r="M29" s="2670"/>
      <c r="N29" s="2670"/>
      <c r="O29" s="2670"/>
      <c r="P29" s="2670"/>
      <c r="Q29" s="2670"/>
      <c r="R29" s="2670"/>
      <c r="S29" s="2670" t="s">
        <v>3517</v>
      </c>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t="s">
        <v>3506</v>
      </c>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3381</v>
      </c>
      <c r="D33" s="2675"/>
      <c r="E33" s="2672">
        <v>5</v>
      </c>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2294</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3382</v>
      </c>
      <c r="D36" s="2675"/>
      <c r="E36" s="2672">
        <v>1.5</v>
      </c>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2296</v>
      </c>
      <c r="D37" s="2675"/>
      <c r="E37" s="2672">
        <v>3</v>
      </c>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2296</v>
      </c>
      <c r="D38" s="2675"/>
      <c r="E38" s="2672">
        <v>3</v>
      </c>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7" sqref="G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930.34999999999991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45554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4267</v>
      </c>
      <c r="C5" s="2511">
        <f ca="1">IF(B5=D14,结果表!H102,ROUND(B5*10000/$B$1,0))</f>
        <v>45867</v>
      </c>
      <c r="D5" s="2511" t="e">
        <f ca="1">ROUND(B5*10000/$B$2,0)</f>
        <v>#DIV/0!</v>
      </c>
      <c r="E5" s="2685"/>
      <c r="F5" s="2686"/>
      <c r="G5" s="2686"/>
      <c r="H5" s="2687"/>
      <c r="I5" s="2687"/>
      <c r="J5" s="2687"/>
      <c r="K5" s="2687"/>
    </row>
    <row r="6" spans="1:11" ht="16.5">
      <c r="A6" s="2511" t="s">
        <v>656</v>
      </c>
      <c r="B6" s="2511">
        <f ca="1">SUM(G14:G23)</f>
        <v>4267</v>
      </c>
      <c r="C6" s="2511">
        <f ca="1">IF(B6=G14,结果表!H108,ROUND(B6*10000/$B$1,0))</f>
        <v>45867</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39"/>
      <c r="F10" s="3443" t="s">
        <v>3358</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930.34999999999991</v>
      </c>
      <c r="C14" s="2517"/>
      <c r="D14" s="2517">
        <f ca="1">结果表!G19</f>
        <v>4267</v>
      </c>
      <c r="E14" s="2517">
        <f ca="1">ROUND(D14*10000/B14,0)</f>
        <v>45864</v>
      </c>
      <c r="F14" s="2517" t="e">
        <f ca="1">ROUND(D14*10000/C14,0)</f>
        <v>#DIV/0!</v>
      </c>
      <c r="G14" s="2517">
        <f ca="1">D14</f>
        <v>4267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0" t="str">
        <f>项目基本情况!S2</f>
        <v>北京市西城区冰窖口胡同1号院4号楼商业用房房地产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3421</v>
      </c>
      <c r="D4" s="1755" t="s">
        <v>3402</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7</v>
      </c>
      <c r="D14" s="3593">
        <v>3</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0" t="s">
        <v>2130</v>
      </c>
      <c r="F18" s="3581"/>
      <c r="G18" s="3581"/>
      <c r="H18" s="3581"/>
      <c r="I18" s="3581"/>
      <c r="J18" s="3455">
        <v>44565</v>
      </c>
      <c r="K18" s="302" t="s">
        <v>1289</v>
      </c>
      <c r="L18" s="302">
        <f>IF(C1="",'数据-汇总表'!E3,SUMIF(项目类型,C1,'数据-汇总表'!E17:E26)+SUMIF(项目类型,C1,'数据-汇总表'!I17:I26))</f>
        <v>930.34999999999991</v>
      </c>
      <c r="M18" s="302">
        <f>IF(C1="",'数据-汇总表'!E3,SUMIF(项目类型,C1,'数据-汇总表'!E17:E26))</f>
        <v>930.34999999999991</v>
      </c>
    </row>
    <row r="19" spans="1:36" ht="15">
      <c r="A19" s="1760" t="s">
        <v>1290</v>
      </c>
      <c r="B19" s="1761" t="s">
        <v>1291</v>
      </c>
      <c r="C19" s="134">
        <f ca="1">SUMIF(INDIRECT("'"&amp;C4&amp;"'"&amp;"!A:A"),结果表!B19,INDIRECT("'"&amp;C4&amp;"'"&amp;"!B:B"))</f>
        <v>4596</v>
      </c>
      <c r="D19" s="135">
        <f ca="1">SUMIF(INDIRECT("'"&amp;D4&amp;"'"&amp;"!A:A"),结果表!B19,INDIRECT("'"&amp;D4&amp;"'"&amp;"!B:B"))</f>
        <v>3500</v>
      </c>
      <c r="E19" s="1760" t="s">
        <v>1292</v>
      </c>
      <c r="F19" s="1761" t="s">
        <v>1291</v>
      </c>
      <c r="G19" s="136">
        <f ca="1">ROUND(C19*$C$18+D19*$D$18,0)</f>
        <v>4267</v>
      </c>
      <c r="H19" s="1762" t="s">
        <v>1293</v>
      </c>
      <c r="I19" s="129"/>
      <c r="J19" s="724">
        <v>4501</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49401</v>
      </c>
      <c r="D20" s="138">
        <f ca="1">SUMIF(INDIRECT("'"&amp;D4&amp;"'"&amp;"!A:A"),结果表!B20,INDIRECT("'"&amp;D4&amp;"'"&amp;"!B:B"))</f>
        <v>37620</v>
      </c>
      <c r="E20" s="1763"/>
      <c r="F20" s="1025" t="s">
        <v>1295</v>
      </c>
      <c r="G20" s="139">
        <f ca="1">ROUND(C20*$C$18+D20*$D$18,0)</f>
        <v>45867</v>
      </c>
      <c r="H20" s="807" t="s">
        <v>1296</v>
      </c>
      <c r="I20" s="129"/>
      <c r="J20" s="724">
        <v>48385</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0.31314285714285717</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45867</v>
      </c>
      <c r="D32" s="1774" t="s">
        <v>3423</v>
      </c>
      <c r="E32" s="129"/>
      <c r="F32" s="129"/>
      <c r="G32" s="129"/>
      <c r="H32" s="129"/>
      <c r="I32" s="129"/>
    </row>
    <row r="33" spans="1:15" ht="15">
      <c r="A33" s="785" t="s">
        <v>1306</v>
      </c>
      <c r="B33" s="1775"/>
      <c r="C33" s="1776" t="s">
        <v>3422</v>
      </c>
      <c r="D33" s="1777" t="s">
        <v>3421</v>
      </c>
      <c r="E33" s="1778" t="s">
        <v>1307</v>
      </c>
      <c r="F33" s="1779" t="str">
        <f>IF(D32="楼面单价","取值（单价）","取值（总价）")</f>
        <v>取值（单价）</v>
      </c>
      <c r="G33" s="129"/>
      <c r="H33" s="129"/>
      <c r="I33" s="129"/>
    </row>
    <row r="34" spans="1:15" ht="15">
      <c r="A34" s="1780"/>
      <c r="B34" s="1781" t="s">
        <v>1308</v>
      </c>
      <c r="C34" s="148">
        <f ca="1">IF(C33="自定义",F34,C32-C35)</f>
        <v>41326</v>
      </c>
      <c r="D34" s="860">
        <f ca="1">IF(C33="自定义",ROUND(C34/C32,3),IF(C33="收益比率",SUMIF(INDIRECT("'"&amp;D33&amp;"'"&amp;"!b:b"),"土地收益比率",INDIRECT("'"&amp;D33&amp;"'"&amp;"!c:c")),SUMIF(INDIRECT("'"&amp;D33&amp;"'"&amp;"!b:b"),"土地成本比率",INDIRECT("'"&amp;D33&amp;"'"&amp;"!c:c"))))</f>
        <v>0.90100000000000002</v>
      </c>
      <c r="E34" s="1782" t="s">
        <v>1309</v>
      </c>
      <c r="F34" s="1329"/>
      <c r="G34" s="129"/>
      <c r="H34" s="129"/>
      <c r="I34" s="129"/>
    </row>
    <row r="35" spans="1:15" ht="15.75" thickBot="1">
      <c r="A35" s="1783"/>
      <c r="B35" s="1784" t="s">
        <v>1310</v>
      </c>
      <c r="C35" s="1169">
        <f ca="1">IF(C33="自定义",F35,ROUND(C32*D35,0))</f>
        <v>4541</v>
      </c>
      <c r="D35" s="1170">
        <f ca="1">IF(C33="自定义",ROUND(C35/C32,3),IF(C33="收益比率",SUMIF(INDIRECT("'"&amp;D33&amp;"'"&amp;"!b:b"),"建筑物收益比率",INDIRECT("'"&amp;D33&amp;"'"&amp;"!c:c")),SUMIF(INDIRECT("'"&amp;D33&amp;"'"&amp;"!b:b"),"建筑物成本比率",INDIRECT("'"&amp;D33&amp;"'"&amp;"!c:c"))))</f>
        <v>9.9000000000000005E-2</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f ca="1">ROUND(H101*F45,0)</f>
        <v>4267</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45554</v>
      </c>
      <c r="N47" s="3641"/>
      <c r="O47" s="3641"/>
    </row>
    <row r="48" spans="1:15" ht="25.5">
      <c r="A48" s="3589" t="s">
        <v>1338</v>
      </c>
      <c r="B48" s="3572"/>
      <c r="C48" s="3572"/>
      <c r="D48" s="2323">
        <f ca="1">IF(H48="情况1",0,IF(H48="情况2",D52,IF(H48="情况3",D53,IF(H48="情况4",D54))))</f>
        <v>228</v>
      </c>
      <c r="E48" s="2333" t="str">
        <f>IF(H48="情况4","(销售额-原购置价)×税（费）率","销售额×税（费）率")</f>
        <v>(销售额-原购置价)×税（费）率</v>
      </c>
      <c r="F48" s="2547">
        <f>IF(H48="情况1","免征",'数据-取费表'!B41)</f>
        <v>5.6000000000000001E-2</v>
      </c>
      <c r="G48" s="2548" t="s">
        <v>1339</v>
      </c>
      <c r="H48" s="2549" t="s">
        <v>3516</v>
      </c>
      <c r="I48" s="1805"/>
      <c r="J48" s="2522">
        <v>3</v>
      </c>
      <c r="K48" s="3620" t="s">
        <v>1340</v>
      </c>
      <c r="L48" s="3620"/>
      <c r="M48" s="3642">
        <f ca="1">H101</f>
        <v>4267</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4267</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228</v>
      </c>
      <c r="E52" s="2333" t="s">
        <v>1354</v>
      </c>
      <c r="F52" s="2553">
        <f>'数据-取费表'!B41</f>
        <v>5.6000000000000001E-2</v>
      </c>
      <c r="G52" s="2554"/>
      <c r="H52" s="2543"/>
      <c r="I52" s="1806"/>
      <c r="J52" s="2522">
        <v>1</v>
      </c>
      <c r="K52" s="3621" t="s">
        <v>1355</v>
      </c>
      <c r="L52" s="3621"/>
      <c r="M52" s="2524">
        <f ca="1">D48</f>
        <v>228</v>
      </c>
      <c r="N52" s="2522" t="str">
        <f>E48</f>
        <v>(销售额-原购置价)×税（费）率</v>
      </c>
      <c r="O52" s="2525">
        <f>F48</f>
        <v>5.6000000000000001E-2</v>
      </c>
    </row>
    <row r="53" spans="1:35" ht="12" customHeight="1">
      <c r="A53" s="2334" t="s">
        <v>1356</v>
      </c>
      <c r="B53" s="3582" t="s">
        <v>2290</v>
      </c>
      <c r="C53" s="3583"/>
      <c r="D53" s="1086">
        <f ca="1">ROUND(D45*'数据-取费表'!B41/(1+'数据-取费表'!C42),0)</f>
        <v>228</v>
      </c>
      <c r="E53" s="2333" t="s">
        <v>1354</v>
      </c>
      <c r="F53" s="2553">
        <f>'数据-取费表'!B41</f>
        <v>5.6000000000000001E-2</v>
      </c>
      <c r="G53" s="2554"/>
      <c r="H53" s="2543"/>
      <c r="I53" s="1806"/>
      <c r="J53" s="2522">
        <v>2</v>
      </c>
      <c r="K53" s="3621" t="s">
        <v>1357</v>
      </c>
      <c r="L53" s="3621"/>
      <c r="M53" s="2524">
        <f t="shared" ref="M53:O54" ca="1" si="0">D55</f>
        <v>2</v>
      </c>
      <c r="N53" s="2522" t="str">
        <f t="shared" si="0"/>
        <v>销售额×税（费）率</v>
      </c>
      <c r="O53" s="2525">
        <f t="shared" si="0"/>
        <v>5.0000000000000001E-4</v>
      </c>
    </row>
    <row r="54" spans="1:35" ht="12" customHeight="1">
      <c r="A54" s="2334" t="s">
        <v>1358</v>
      </c>
      <c r="B54" s="3582" t="s">
        <v>2291</v>
      </c>
      <c r="C54" s="3583"/>
      <c r="D54" s="1086">
        <f ca="1">C68</f>
        <v>228</v>
      </c>
      <c r="E54" s="327" t="s">
        <v>1359</v>
      </c>
      <c r="F54" s="2553">
        <f>'数据-取费表'!B41</f>
        <v>5.6000000000000001E-2</v>
      </c>
      <c r="G54" s="2554"/>
      <c r="H54" s="2555"/>
      <c r="I54" s="1806"/>
      <c r="J54" s="2522">
        <v>3</v>
      </c>
      <c r="K54" s="3621" t="s">
        <v>1360</v>
      </c>
      <c r="L54" s="3621"/>
      <c r="M54" s="2524">
        <f t="shared" ca="1" si="0"/>
        <v>203</v>
      </c>
      <c r="N54" s="2522" t="str">
        <f t="shared" si="0"/>
        <v>增值额×税（费）率</v>
      </c>
      <c r="O54" s="2526" t="str">
        <f t="shared" si="0"/>
        <v>——</v>
      </c>
    </row>
    <row r="55" spans="1:35" ht="24" customHeight="1">
      <c r="A55" s="3571" t="s">
        <v>1361</v>
      </c>
      <c r="B55" s="3572"/>
      <c r="C55" s="3572"/>
      <c r="D55" s="2323">
        <f ca="1">IF(H55="个人住宅",0,ROUND(D45*I55,0))</f>
        <v>2</v>
      </c>
      <c r="E55" s="2333" t="s">
        <v>1362</v>
      </c>
      <c r="F55" s="2553">
        <f>IF(H55="正常",I55,"免征")</f>
        <v>5.0000000000000001E-4</v>
      </c>
      <c r="G55" s="2554"/>
      <c r="H55" s="2549" t="s">
        <v>3467</v>
      </c>
      <c r="I55" s="165">
        <f>'数据-取费表'!B49</f>
        <v>5.0000000000000001E-4</v>
      </c>
      <c r="J55" s="2522">
        <f>IF(H59="非个人房产","",4)</f>
        <v>4</v>
      </c>
      <c r="K55" s="3621" t="str">
        <f>IF(H59="非个人房产","——","个人所得税")</f>
        <v>个人所得税</v>
      </c>
      <c r="L55" s="3621"/>
      <c r="M55" s="2527">
        <f ca="1">D59</f>
        <v>43</v>
      </c>
      <c r="N55" s="2039" t="str">
        <f>E59</f>
        <v>销售额×税（费）率</v>
      </c>
      <c r="O55" s="2528">
        <f>F59</f>
        <v>0.01</v>
      </c>
    </row>
    <row r="56" spans="1:35" ht="24.75">
      <c r="A56" s="3571" t="s">
        <v>1363</v>
      </c>
      <c r="B56" s="3572"/>
      <c r="C56" s="3572"/>
      <c r="D56" s="1615">
        <f ca="1">ROUND(D45/1.05*5%,0)</f>
        <v>203</v>
      </c>
      <c r="E56" s="2333" t="s">
        <v>1364</v>
      </c>
      <c r="F56" s="2553" t="str">
        <f>IF(H56="正常",F58,"免征")</f>
        <v>——</v>
      </c>
      <c r="G56" s="2556" t="s">
        <v>1365</v>
      </c>
      <c r="H56" s="2557" t="s">
        <v>3467</v>
      </c>
      <c r="I56" s="1807">
        <f ca="1">ROUND(D45/1.05*5%,0)</f>
        <v>203</v>
      </c>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476</v>
      </c>
      <c r="O57" s="2532"/>
      <c r="P57" s="2689">
        <f ca="1">N57/M49</f>
        <v>0.11155378486055777</v>
      </c>
    </row>
    <row r="58" spans="1:35" ht="24.75">
      <c r="A58" s="2334" t="s">
        <v>1352</v>
      </c>
      <c r="B58" s="3582" t="s">
        <v>1369</v>
      </c>
      <c r="C58" s="3556"/>
      <c r="D58" s="2323">
        <f ca="1">IF(H58="转让取得",C81,C97)</f>
        <v>2416</v>
      </c>
      <c r="E58" s="2333" t="s">
        <v>1364</v>
      </c>
      <c r="F58" s="302" t="s">
        <v>28</v>
      </c>
      <c r="G58" s="2554"/>
      <c r="H58" s="2557" t="s">
        <v>3514</v>
      </c>
      <c r="I58" s="1807"/>
      <c r="J58" s="3621"/>
      <c r="K58" s="3621"/>
      <c r="L58" s="2529" t="s">
        <v>1370</v>
      </c>
      <c r="M58" s="2533"/>
      <c r="N58" s="2534" t="str">
        <f ca="1">NUMBERSTRING(INT(N57*10000),2)&amp;"元整"</f>
        <v>肆佰柒拾陆万元整</v>
      </c>
      <c r="O58" s="2535"/>
    </row>
    <row r="59" spans="1:35" ht="26.25" thickBot="1">
      <c r="A59" s="3624" t="s">
        <v>1371</v>
      </c>
      <c r="B59" s="3625"/>
      <c r="C59" s="3625"/>
      <c r="D59" s="2559">
        <f ca="1">IF(H59="非个人房产","——",IF(H59="个人住宅（满五唯一有凭证）",0,IF(H59="个人其他（无凭证）",ROUND(D45*F59,0),ROUND(C67*F59,0))))</f>
        <v>43</v>
      </c>
      <c r="E59" s="2560" t="str">
        <f>IF(H59="非个人房产","——",IF(H59="个人其他（无凭证）","销售额×税（费）率",IF(H59="个人住宅（满五唯一有凭证）","免征","差额计税")))</f>
        <v>销售额×税（费）率</v>
      </c>
      <c r="F59" s="2561">
        <f>IF(OR(H59="非个人房产",H59="个人住宅（满五唯一有凭证）"),"——",IF(H59="个人其他（有凭证）",20%,1%))</f>
        <v>0.01</v>
      </c>
      <c r="G59" s="2562" t="s">
        <v>1365</v>
      </c>
      <c r="H59" s="2313" t="s">
        <v>3515</v>
      </c>
      <c r="I59" s="2312" t="s">
        <v>2136</v>
      </c>
      <c r="J59" s="3622">
        <f>J57+1</f>
        <v>6</v>
      </c>
      <c r="K59" s="3621" t="s">
        <v>1372</v>
      </c>
      <c r="L59" s="2522" t="s">
        <v>1368</v>
      </c>
      <c r="M59" s="2536"/>
      <c r="N59" s="2537">
        <f ca="1">M49-N57</f>
        <v>3791</v>
      </c>
      <c r="O59" s="2538"/>
    </row>
    <row r="60" spans="1:35" ht="12" customHeight="1">
      <c r="A60" s="1808"/>
      <c r="B60" s="1746"/>
      <c r="C60" s="1746"/>
      <c r="D60" s="1746"/>
      <c r="E60" s="1577"/>
      <c r="F60" s="1807"/>
      <c r="G60" s="1807"/>
      <c r="H60" s="1809"/>
      <c r="I60" s="129"/>
      <c r="J60" s="3623"/>
      <c r="K60" s="3621"/>
      <c r="L60" s="2529" t="s">
        <v>1370</v>
      </c>
      <c r="M60" s="2533"/>
      <c r="N60" s="2534" t="str">
        <f ca="1">NUMBERSTRING(INT(N59*10000),2)&amp;"元整"</f>
        <v>叁仟柒佰玖拾壹万元整</v>
      </c>
      <c r="O60" s="2535"/>
    </row>
    <row r="61" spans="1:35" ht="13.5" thickBot="1">
      <c r="A61" s="3569" t="s">
        <v>1373</v>
      </c>
      <c r="B61" s="3569"/>
      <c r="C61" s="3569"/>
      <c r="D61" s="3569"/>
      <c r="E61" s="3569"/>
      <c r="F61" s="1807"/>
      <c r="G61" s="1807"/>
      <c r="H61" s="1809"/>
      <c r="I61" s="129"/>
      <c r="J61" s="2522">
        <f>J59+1</f>
        <v>7</v>
      </c>
      <c r="K61" s="3621" t="s">
        <v>1374</v>
      </c>
      <c r="L61" s="3621"/>
      <c r="M61" s="2539"/>
      <c r="N61" s="2540">
        <f ca="1">ROUND(N59*10000/'数据-汇总表'!E3,0)</f>
        <v>40748</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f ca="1">ROUND((C64+C65)/(1+'数据-取费表'!C42),0)</f>
        <v>4064</v>
      </c>
      <c r="D63" s="167"/>
      <c r="E63" s="168"/>
      <c r="F63" s="1807"/>
      <c r="G63" s="1807"/>
      <c r="H63" s="1809"/>
      <c r="I63" s="129"/>
      <c r="J63" s="3646" t="s">
        <v>1379</v>
      </c>
      <c r="K63" s="1331" t="s">
        <v>1380</v>
      </c>
      <c r="L63" s="1331">
        <f ca="1">IF(M49&gt;10000,M49*0.5%,IF(AND(M49&gt;1000,M49&lt;=10000),M49*1%,IF(AND(M49&gt;100,M49&lt;=1000),M49*3%,IF(AND(M49&gt;10,M49&lt;=100),M49*5%,M49*8%))))</f>
        <v>42.67</v>
      </c>
      <c r="M63" s="302">
        <f ca="1">ROUND(L63,1)</f>
        <v>42.7</v>
      </c>
      <c r="N63" s="2542"/>
      <c r="Z63" s="1751"/>
      <c r="AI63" s="1752"/>
    </row>
    <row r="64" spans="1:35" ht="14.25" customHeight="1">
      <c r="A64" s="169" t="s">
        <v>325</v>
      </c>
      <c r="B64" s="170" t="s">
        <v>1381</v>
      </c>
      <c r="C64" s="2564">
        <f ca="1">D45</f>
        <v>4267</v>
      </c>
      <c r="D64" s="170" t="s">
        <v>26</v>
      </c>
      <c r="E64" s="172"/>
      <c r="F64" s="1807"/>
      <c r="G64" s="1807"/>
      <c r="H64" s="1809"/>
      <c r="I64" s="129"/>
      <c r="J64" s="3646"/>
      <c r="K64" s="1331" t="s">
        <v>1382</v>
      </c>
      <c r="L64" s="1331">
        <f ca="1">IF(M49&gt;2000,M49*0.5%,IF(AND(M49&gt;1000,M49&lt;=2000),M49*0.6%,IF(AND(M49&gt;500,M49&lt;=1000),M49*0.7%,IF(AND(M49&gt;200,M49&lt;=500),M49*0.8%,IF(AND(M49&gt;100,M49&lt;=200),M49*0.9%,IF(AND(M49&gt;50,M49&lt;=100),M49*1%,IF(AND(M49&gt;20,M49&lt;=50),M49*1.5%,IF(AND(M49&gt;10,M49&lt;=20),M49*2%,IF(AND(M49&gt;1,M49&lt;=10),M49*2.5%)))))))))</f>
        <v>21.335000000000001</v>
      </c>
      <c r="M64" s="302">
        <f t="shared" ref="M64:M65" ca="1" si="1">ROUND(L64,1)</f>
        <v>21.3</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f ca="1">IF(M49&gt;1000,M49*0.1%,IF(AND(M49&gt;500,M49&lt;=1000),M49*0.5%,IF(AND(M49&gt;50,M49&lt;=500),M49*1%,IF(AND(M49&gt;1,M49&lt;=50),M49*1.5%))))</f>
        <v>4.2670000000000003</v>
      </c>
      <c r="M65" s="302">
        <f t="shared" ca="1" si="1"/>
        <v>4.3</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f ca="1">M49*0.5%</f>
        <v>21.335000000000001</v>
      </c>
      <c r="M66" s="302">
        <f ca="1">IF(L66&gt;0.5,0.5,ROUND(L66,0))</f>
        <v>0.5</v>
      </c>
      <c r="N66" s="2543" t="s">
        <v>1388</v>
      </c>
      <c r="Z66" s="1751"/>
      <c r="AI66" s="1752"/>
    </row>
    <row r="67" spans="1:35" ht="14.25" customHeight="1">
      <c r="A67" s="173" t="s">
        <v>328</v>
      </c>
      <c r="B67" s="174" t="s">
        <v>1389</v>
      </c>
      <c r="C67" s="2567">
        <f ca="1">C63-C66</f>
        <v>4064</v>
      </c>
      <c r="D67" s="170" t="s">
        <v>26</v>
      </c>
      <c r="E67" s="172"/>
      <c r="F67" s="1807"/>
      <c r="G67" s="1807"/>
      <c r="H67" s="1809"/>
      <c r="I67" s="129"/>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228</v>
      </c>
      <c r="D68" s="2569">
        <f>'数据-取费表'!B41</f>
        <v>5.6000000000000001E-2</v>
      </c>
      <c r="E68" s="178"/>
      <c r="F68" s="1807"/>
      <c r="G68" s="1807"/>
      <c r="H68" s="1809"/>
      <c r="I68" s="129"/>
      <c r="J68" s="3646"/>
      <c r="K68" s="1331" t="s">
        <v>1392</v>
      </c>
      <c r="L68" s="1331">
        <f ca="1">IF(M49&gt;10000,M49*0.5%,IF(AND(M49&gt;5000,M49&lt;=10000),M49*1%,IF(AND(M49&gt;1000,M49&lt;=5000),M49*2%,IF(AND(M49&gt;200,M49&lt;=1000),M49*3%,M49*5%))))</f>
        <v>85.34</v>
      </c>
      <c r="M68" s="302">
        <f ca="1">ROUND(L68,1)</f>
        <v>85.3</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f ca="1">ROUND(SUM(M63:M68),0)</f>
        <v>157</v>
      </c>
      <c r="N69" s="2544">
        <f ca="1">M69/M49</f>
        <v>3.6794000468713381E-2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4064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24</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4040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168.33333333333334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2416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4064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24</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4040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168.33333333333334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2416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成本法</v>
      </c>
      <c r="D101" s="2585" t="str">
        <f>D4</f>
        <v>收益法</v>
      </c>
      <c r="E101" s="3643" t="s">
        <v>1431</v>
      </c>
      <c r="F101" s="3600"/>
      <c r="G101" s="1826" t="s">
        <v>1432</v>
      </c>
      <c r="H101" s="2594">
        <f ca="1">H118</f>
        <v>4267</v>
      </c>
      <c r="I101" s="129"/>
    </row>
    <row r="102" spans="1:35" ht="18.75" customHeight="1">
      <c r="A102" s="3602" t="s">
        <v>1433</v>
      </c>
      <c r="B102" s="2583" t="s">
        <v>1432</v>
      </c>
      <c r="C102" s="2584">
        <f ca="1">IF(D32="楼面单价",ROUND(C19,0),C19)</f>
        <v>4596</v>
      </c>
      <c r="D102" s="2585">
        <f ca="1">IF(D32="楼面单价",ROUND(D19,0),D19)</f>
        <v>3500</v>
      </c>
      <c r="E102" s="3643"/>
      <c r="F102" s="3600"/>
      <c r="G102" s="1826" t="s">
        <v>1434</v>
      </c>
      <c r="H102" s="2554">
        <f ca="1">I118</f>
        <v>45867</v>
      </c>
      <c r="I102" s="129"/>
    </row>
    <row r="103" spans="1:35" ht="42.75" customHeight="1">
      <c r="A103" s="3602"/>
      <c r="B103" s="2583" t="s">
        <v>1434</v>
      </c>
      <c r="C103" s="2586">
        <f ca="1">C20</f>
        <v>49401</v>
      </c>
      <c r="D103" s="2587">
        <f ca="1">D20</f>
        <v>37620</v>
      </c>
      <c r="E103" s="3637" t="s">
        <v>1435</v>
      </c>
      <c r="F103" s="3638"/>
      <c r="G103" s="1827" t="s">
        <v>1436</v>
      </c>
      <c r="H103" s="2594">
        <f>IF(D36="正常操作",H104+H105+H106,H105+H106)</f>
        <v>0</v>
      </c>
      <c r="I103" s="129"/>
    </row>
    <row r="104" spans="1:35" ht="18.75" customHeight="1">
      <c r="A104" s="3602" t="s">
        <v>1437</v>
      </c>
      <c r="B104" s="2588" t="s">
        <v>1432</v>
      </c>
      <c r="C104" s="2589">
        <f ca="1">H118</f>
        <v>4267</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f ca="1">I118</f>
        <v>45867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f ca="1">IF(E107="——","——",H101-H103)</f>
        <v>4267</v>
      </c>
      <c r="I107" s="129"/>
    </row>
    <row r="108" spans="1:35" ht="18.75" customHeight="1">
      <c r="A108" s="129"/>
      <c r="B108" s="129"/>
      <c r="C108" s="129"/>
      <c r="D108" s="129"/>
      <c r="E108" s="3599"/>
      <c r="F108" s="3600"/>
      <c r="G108" s="1826" t="s">
        <v>1434</v>
      </c>
      <c r="H108" s="2554">
        <f ca="1">IF(H107=H101,H102,ROUND(H107*10000/'数据-汇总表'!E3,0))</f>
        <v>45867</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北京市西城区冰窖口胡同1号院4号楼商业用房房地产</v>
      </c>
      <c r="B118" s="2328">
        <f>M18</f>
        <v>930.34999999999991</v>
      </c>
      <c r="C118" s="2328">
        <f>M19</f>
        <v>0</v>
      </c>
      <c r="D118" s="2328">
        <f ca="1">ROUND(IF(D32="总价",C34,E118*B118/10000),0)</f>
        <v>3845</v>
      </c>
      <c r="E118" s="2328">
        <f ca="1">ROUND(IF(C33="自定义",IF(D32="楼面单价",C34,D118*10000/B118),I118-G118),0)</f>
        <v>41326</v>
      </c>
      <c r="F118" s="2328">
        <f ca="1">ROUND(IF(D32="总价",C35,G118*B118/10000),0)</f>
        <v>422</v>
      </c>
      <c r="G118" s="2328">
        <f ca="1">ROUND(IF(D32="楼面单价",C35,F118*10000/B118),0)</f>
        <v>4541</v>
      </c>
      <c r="H118" s="2328">
        <f ca="1">ROUND(IF(D32="总价",C32,I118*B118/10000),0)</f>
        <v>4267</v>
      </c>
      <c r="I118" s="2328">
        <f ca="1">ROUND(IF(D32="楼面单价",C32,H118*10000/B118),0)</f>
        <v>45867</v>
      </c>
    </row>
    <row r="119" spans="1:27" ht="18.75" customHeight="1">
      <c r="A119" s="3570" t="s">
        <v>1452</v>
      </c>
      <c r="B119" s="3570"/>
      <c r="C119" s="3570"/>
      <c r="D119" s="3610" t="str">
        <f ca="1">NUMBERSTRING(INT(D118*10000),2)&amp;"元整"</f>
        <v>叁仟捌佰肆拾伍万元整</v>
      </c>
      <c r="E119" s="3612"/>
      <c r="F119" s="3610" t="str">
        <f ca="1">NUMBERSTRING(INT(F118*10000),2)&amp;"元整"</f>
        <v>肆佰贰拾贰万元整</v>
      </c>
      <c r="G119" s="3612"/>
      <c r="H119" s="3610" t="str">
        <f ca="1">NUMBERSTRING(INT(H118*10000),2)&amp;"元整"</f>
        <v>肆仟贰佰陆拾柒万元整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4267</v>
      </c>
      <c r="E122" s="3635"/>
      <c r="F122" s="3635"/>
      <c r="G122" s="3635"/>
      <c r="H122" s="3635"/>
      <c r="I122" s="3636"/>
      <c r="AA122" s="724"/>
    </row>
    <row r="123" spans="1:27" ht="18.75" customHeight="1">
      <c r="A123" s="3570" t="s">
        <v>1452</v>
      </c>
      <c r="B123" s="3570"/>
      <c r="C123" s="3570"/>
      <c r="D123" s="3610" t="str">
        <f ca="1">NUMBERSTRING(INT(D122*10000),2)&amp;"元整"</f>
        <v>肆仟贰佰陆拾柒万元整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4596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49401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2771</v>
      </c>
      <c r="D5" s="211" t="s">
        <v>1469</v>
      </c>
      <c r="E5" s="212" t="s">
        <v>1470</v>
      </c>
      <c r="F5" s="212" t="s">
        <v>1471</v>
      </c>
      <c r="G5" s="213"/>
    </row>
    <row r="6" spans="1:9" s="214" customFormat="1" ht="13.5" customHeight="1">
      <c r="A6" s="777" t="s">
        <v>1472</v>
      </c>
      <c r="B6" s="215" t="s">
        <v>1473</v>
      </c>
      <c r="C6" s="216">
        <f>基准地价修正!V2+基准地价修正!V3+基准地价修正!V4+基准地价修正!V5+基准地价修正!V6</f>
        <v>2671</v>
      </c>
      <c r="D6" s="217"/>
      <c r="E6" s="218"/>
      <c r="F6" s="218"/>
      <c r="G6" s="219"/>
    </row>
    <row r="7" spans="1:9" s="214" customFormat="1" ht="13.5" customHeight="1">
      <c r="A7" s="777" t="s">
        <v>1474</v>
      </c>
      <c r="B7" s="215" t="s">
        <v>1475</v>
      </c>
      <c r="C7" s="220">
        <f>ROUND(C6*F7,0)</f>
        <v>81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19</v>
      </c>
      <c r="D8" s="222"/>
      <c r="E8" s="220"/>
      <c r="F8" s="221"/>
      <c r="G8" s="1855" t="s">
        <v>3418</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3419</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930.34999999999991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930.34999999999991</v>
      </c>
      <c r="E19" s="211">
        <f>'数据-取费表'!B31</f>
        <v>200</v>
      </c>
      <c r="F19" s="231"/>
      <c r="G19" s="1855" t="s">
        <v>3420</v>
      </c>
    </row>
    <row r="20" spans="1:7" s="214" customFormat="1" ht="13.5" customHeight="1">
      <c r="A20" s="255" t="s">
        <v>1493</v>
      </c>
      <c r="B20" s="210" t="s">
        <v>1494</v>
      </c>
      <c r="C20" s="232">
        <f ca="1">ROUND((C5+C19)*F20,0)</f>
        <v>83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192</v>
      </c>
      <c r="D22" s="235">
        <f ca="1">C26</f>
        <v>1E-3</v>
      </c>
      <c r="E22" s="236" t="s">
        <v>1498</v>
      </c>
      <c r="F22" s="237">
        <f ca="1">'数据-取费表'!B40</f>
        <v>3.3500000000000002E-2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189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3</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714</v>
      </c>
      <c r="D27" s="235">
        <f ca="1">C29</f>
        <v>7.4999999999999997E-3</v>
      </c>
      <c r="E27" s="236" t="s">
        <v>1514</v>
      </c>
      <c r="F27" s="246">
        <f ca="1">IF(B1="",'数据-取费表'!Q16,INDIRECT("'数据-取费表'!q"&amp;$G$1))</f>
        <v>0.25</v>
      </c>
      <c r="G27" s="247" t="s">
        <v>1515</v>
      </c>
    </row>
    <row r="28" spans="1:7" s="214" customFormat="1" ht="13.5" customHeight="1">
      <c r="A28" s="779" t="s">
        <v>346</v>
      </c>
      <c r="B28" s="248" t="s">
        <v>1516</v>
      </c>
      <c r="C28" s="249">
        <f ca="1">ROUND((C5+C19+C20)*F27*'数据-取费表'!B21/'数据-取费表'!B20,0)</f>
        <v>714</v>
      </c>
      <c r="D28" s="235"/>
      <c r="E28" s="236"/>
      <c r="F28" s="246"/>
      <c r="G28" s="247"/>
    </row>
    <row r="29" spans="1:7" s="214" customFormat="1" ht="13.5" customHeight="1">
      <c r="A29" s="779"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372</v>
      </c>
      <c r="D34" s="217"/>
      <c r="E34" s="220"/>
      <c r="F34" s="257">
        <f ca="1">IF('数据-取费表'!B24=0,1,IF(B1="",'数据-取费表'!N16,INDIRECT("'数据-取费表'!n"&amp;$G$1)))</f>
        <v>1</v>
      </c>
      <c r="G34" s="219" t="s">
        <v>1526</v>
      </c>
    </row>
    <row r="35" spans="1:7" ht="13.5" customHeight="1">
      <c r="A35" s="779" t="s">
        <v>351</v>
      </c>
      <c r="B35" s="215" t="s">
        <v>1527</v>
      </c>
      <c r="C35" s="220">
        <f ca="1">ROUND(C34*F35,0)</f>
        <v>19</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930.34999999999991</v>
      </c>
      <c r="E37" s="249">
        <f>'数据-取费表'!B35</f>
        <v>200</v>
      </c>
      <c r="F37" s="259"/>
      <c r="G37" s="261" t="s">
        <v>1532</v>
      </c>
    </row>
    <row r="38" spans="1:7" ht="13.5" customHeight="1">
      <c r="A38" s="779" t="s">
        <v>354</v>
      </c>
      <c r="B38" s="215" t="s">
        <v>1533</v>
      </c>
      <c r="C38" s="220">
        <f ca="1">ROUND(C34*F38,0)</f>
        <v>7</v>
      </c>
      <c r="D38" s="220"/>
      <c r="E38" s="220"/>
      <c r="F38" s="259">
        <f>'数据-取费表'!B36</f>
        <v>0.02</v>
      </c>
      <c r="G38" s="219" t="s">
        <v>1528</v>
      </c>
    </row>
    <row r="39" spans="1:7" s="214" customFormat="1" ht="13.5" customHeight="1">
      <c r="A39" s="255" t="s">
        <v>1534</v>
      </c>
      <c r="B39" s="210" t="s">
        <v>1535</v>
      </c>
      <c r="C39" s="232">
        <f ca="1">ROUND(C33*F20,0)</f>
        <v>13</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v>
      </c>
      <c r="D41" s="235">
        <f ca="1">C44</f>
        <v>1E-3</v>
      </c>
      <c r="E41" s="236" t="s">
        <v>1539</v>
      </c>
      <c r="F41" s="237">
        <f ca="1">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14</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1E-3</v>
      </c>
      <c r="D44" s="238"/>
      <c r="E44" s="238"/>
      <c r="F44" s="239"/>
      <c r="G44" s="3652"/>
    </row>
    <row r="45" spans="1:7" s="214" customFormat="1" ht="13.5" customHeight="1">
      <c r="A45" s="255" t="s">
        <v>1547</v>
      </c>
      <c r="B45" s="244" t="s">
        <v>1513</v>
      </c>
      <c r="C45" s="245">
        <f ca="1">C46</f>
        <v>108</v>
      </c>
      <c r="D45" s="235">
        <f ca="1">C47</f>
        <v>7.4999999999999997E-3</v>
      </c>
      <c r="E45" s="236" t="s">
        <v>1539</v>
      </c>
      <c r="F45" s="246">
        <f ca="1">F27</f>
        <v>0.25</v>
      </c>
      <c r="G45" s="247" t="s">
        <v>1548</v>
      </c>
    </row>
    <row r="46" spans="1:7" s="214" customFormat="1" ht="13.5" customHeight="1">
      <c r="A46" s="779" t="s">
        <v>346</v>
      </c>
      <c r="B46" s="248" t="s">
        <v>1549</v>
      </c>
      <c r="C46" s="249">
        <f ca="1">ROUND((C33+C39)*F27,0)</f>
        <v>108</v>
      </c>
      <c r="D46" s="263"/>
      <c r="E46" s="236"/>
      <c r="F46" s="246"/>
      <c r="G46" s="247"/>
    </row>
    <row r="47" spans="1:7" s="214" customFormat="1" ht="13.5" customHeight="1">
      <c r="A47" s="779"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608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456</v>
      </c>
      <c r="D51" s="232"/>
      <c r="E51" s="232"/>
      <c r="F51" s="264"/>
      <c r="G51" s="234" t="s">
        <v>1560</v>
      </c>
    </row>
    <row r="52" spans="1:7" s="208" customFormat="1" ht="16.5" thickBot="1">
      <c r="A52" s="265" t="s">
        <v>1561</v>
      </c>
      <c r="B52" s="266"/>
      <c r="C52" s="267">
        <f ca="1">C31+C51</f>
        <v>4596</v>
      </c>
      <c r="D52" s="266"/>
      <c r="E52" s="266"/>
      <c r="F52" s="266"/>
      <c r="G52" s="268"/>
    </row>
    <row r="55" spans="1:7" ht="15">
      <c r="B55" s="270" t="s">
        <v>1562</v>
      </c>
      <c r="C55" s="271"/>
    </row>
    <row r="56" spans="1:7">
      <c r="B56" s="273" t="s">
        <v>802</v>
      </c>
      <c r="C56" s="275">
        <f ca="1">1-C57</f>
        <v>0.90100000000000002</v>
      </c>
    </row>
    <row r="57" spans="1:7">
      <c r="B57" s="273" t="s">
        <v>803</v>
      </c>
      <c r="C57" s="274">
        <f ca="1">ROUND(C51/C52,3)</f>
        <v>9.9000000000000005E-2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北京市西城区冰窖口胡同1号院4号楼商业用房房地产抵押价值预评估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510.6157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5488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186070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186070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186070</v>
      </c>
      <c r="D10" s="844">
        <f ca="1">IF(B1="",'数据-汇总表'!E6,IF(INDIRECT("'数据-取费表'!c"&amp;$G$1)="住宅",INDIRECT("'数据-取费表'!s"&amp;$G$1),INDIRECT("'数据-取费表'!k"&amp;$G$1)+INDIRECT("'数据-取费表'!s"&amp;$G$1)))</f>
        <v>930.34999999999991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186070</v>
      </c>
      <c r="D19" s="848">
        <f ca="1">D9+D10</f>
        <v>930.34999999999991</v>
      </c>
      <c r="E19" s="211">
        <f>'数据-取费表'!B31</f>
        <v>200</v>
      </c>
      <c r="F19" s="231"/>
      <c r="G19" s="1855"/>
    </row>
    <row r="20" spans="1:7" s="214" customFormat="1" ht="13.5" customHeight="1">
      <c r="A20" s="255" t="s">
        <v>1574</v>
      </c>
      <c r="B20" s="210" t="s">
        <v>1575</v>
      </c>
      <c r="C20" s="232">
        <f ca="1">ROUND((C5+C19)*F20,0)</f>
        <v>11164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25726</v>
      </c>
      <c r="D22" s="235">
        <f ca="1">C26</f>
        <v>1E-3</v>
      </c>
      <c r="E22" s="236" t="s">
        <v>1579</v>
      </c>
      <c r="F22" s="237">
        <f ca="1">'数据-取费表'!B40</f>
        <v>3.3500000000000002E-2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12676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12676</v>
      </c>
      <c r="D24" s="238"/>
      <c r="E24" s="238"/>
      <c r="F24" s="239"/>
      <c r="G24" s="240" t="s">
        <v>1586</v>
      </c>
    </row>
    <row r="25" spans="1:7" s="214" customFormat="1" ht="24">
      <c r="A25" s="779" t="s">
        <v>1476</v>
      </c>
      <c r="B25" s="215" t="s">
        <v>1587</v>
      </c>
      <c r="C25" s="1127">
        <f ca="1">ROUND(IF('数据-取费表'!B22&lt;=1,C20*F22*'数据-取费表'!B22/2,C20*(POWER((1+F22),'数据-取费表'!B22/2)-1)),0)</f>
        <v>374</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95826</v>
      </c>
      <c r="D27" s="235">
        <f ca="1">C29</f>
        <v>7.4999999999999997E-3</v>
      </c>
      <c r="E27" s="236" t="s">
        <v>1514</v>
      </c>
      <c r="F27" s="246">
        <f ca="1">IF(B1="",'数据-取费表'!Q16,INDIRECT("'数据-取费表'!q"&amp;$G$1))</f>
        <v>0.25</v>
      </c>
      <c r="G27" s="247" t="s">
        <v>1515</v>
      </c>
    </row>
    <row r="28" spans="1:7" s="214" customFormat="1" ht="13.5" customHeight="1">
      <c r="A28" s="779" t="s">
        <v>346</v>
      </c>
      <c r="B28" s="248" t="s">
        <v>1516</v>
      </c>
      <c r="C28" s="249">
        <f ca="1">ROUND((C5+C19+C20)*F27,0)</f>
        <v>95826</v>
      </c>
      <c r="D28" s="235"/>
      <c r="E28" s="236"/>
      <c r="F28" s="246"/>
      <c r="G28" s="247"/>
    </row>
    <row r="29" spans="1:7" s="214" customFormat="1" ht="13.5" customHeight="1">
      <c r="A29" s="779"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555886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4167968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3721400</v>
      </c>
      <c r="D34" s="217"/>
      <c r="E34" s="220"/>
      <c r="F34" s="257"/>
      <c r="G34" s="219"/>
    </row>
    <row r="35" spans="1:7" ht="13.5" customHeight="1">
      <c r="A35" s="779" t="s">
        <v>351</v>
      </c>
      <c r="B35" s="215" t="s">
        <v>1527</v>
      </c>
      <c r="C35" s="220">
        <f ca="1">ROUND(C34*F35,0)</f>
        <v>186070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186070</v>
      </c>
      <c r="D37" s="217">
        <f ca="1">D19</f>
        <v>930.34999999999991</v>
      </c>
      <c r="E37" s="249">
        <f>'数据-取费表'!B35</f>
        <v>200</v>
      </c>
      <c r="F37" s="259"/>
      <c r="G37" s="261"/>
    </row>
    <row r="38" spans="1:7" ht="13.5" customHeight="1">
      <c r="A38" s="779" t="s">
        <v>354</v>
      </c>
      <c r="B38" s="215" t="s">
        <v>1533</v>
      </c>
      <c r="C38" s="220">
        <f ca="1">ROUND(C34*F38,0)</f>
        <v>74428</v>
      </c>
      <c r="D38" s="220"/>
      <c r="E38" s="220"/>
      <c r="F38" s="259">
        <f>'数据-取费表'!B36</f>
        <v>0.02</v>
      </c>
      <c r="G38" s="219" t="s">
        <v>1528</v>
      </c>
    </row>
    <row r="39" spans="1:7" s="214" customFormat="1" ht="13.5" customHeight="1">
      <c r="A39" s="255" t="s">
        <v>1534</v>
      </c>
      <c r="B39" s="210" t="s">
        <v>1535</v>
      </c>
      <c r="C39" s="232">
        <f ca="1">ROUND(C33*F20,0)</f>
        <v>125039</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143816</v>
      </c>
      <c r="D41" s="235">
        <f ca="1">C44</f>
        <v>1E-3</v>
      </c>
      <c r="E41" s="236" t="s">
        <v>1539</v>
      </c>
      <c r="F41" s="237">
        <f ca="1">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139627</v>
      </c>
      <c r="D42" s="238"/>
      <c r="E42" s="238"/>
      <c r="F42" s="239"/>
      <c r="G42" s="3650" t="s">
        <v>1591</v>
      </c>
    </row>
    <row r="43" spans="1:7" ht="13.5" customHeight="1">
      <c r="A43" s="779" t="s">
        <v>347</v>
      </c>
      <c r="B43" s="215" t="s">
        <v>1545</v>
      </c>
      <c r="C43" s="238">
        <f ca="1">ROUND(IF('数据-取费表'!B22&lt;=1,C39*F22*'数据-取费表'!B20/2,C39*(POWER((1+F22),'数据-取费表'!B20/2)-1)),0)</f>
        <v>4189</v>
      </c>
      <c r="D43" s="238"/>
      <c r="E43" s="238"/>
      <c r="F43" s="239"/>
      <c r="G43" s="3651"/>
    </row>
    <row r="44" spans="1:7" ht="13.5" customHeight="1">
      <c r="A44" s="779" t="s">
        <v>348</v>
      </c>
      <c r="B44" s="215" t="s">
        <v>1546</v>
      </c>
      <c r="C44" s="238">
        <f ca="1">ROUND(IF('数据-取费表'!B22&lt;=1,C40*F22*'数据-取费表'!B20/2,C40*(POWER((1+F22),'数据-取费表'!B20/2)-1)),4)</f>
        <v>1E-3</v>
      </c>
      <c r="D44" s="238"/>
      <c r="E44" s="238"/>
      <c r="F44" s="239"/>
      <c r="G44" s="3652"/>
    </row>
    <row r="45" spans="1:7" s="214" customFormat="1" ht="13.5" customHeight="1">
      <c r="A45" s="255" t="s">
        <v>1547</v>
      </c>
      <c r="B45" s="244" t="s">
        <v>1513</v>
      </c>
      <c r="C45" s="245">
        <f ca="1">C46</f>
        <v>1073252</v>
      </c>
      <c r="D45" s="235">
        <f ca="1">C47</f>
        <v>7.4999999999999997E-3</v>
      </c>
      <c r="E45" s="236" t="s">
        <v>1539</v>
      </c>
      <c r="F45" s="246">
        <f ca="1">F27</f>
        <v>0.25</v>
      </c>
      <c r="G45" s="247" t="s">
        <v>1548</v>
      </c>
    </row>
    <row r="46" spans="1:7" s="214" customFormat="1" ht="13.5" customHeight="1">
      <c r="A46" s="779" t="s">
        <v>346</v>
      </c>
      <c r="B46" s="248" t="s">
        <v>1549</v>
      </c>
      <c r="C46" s="249">
        <f ca="1">ROUND((C33+C39)*F27,0)</f>
        <v>1073252</v>
      </c>
      <c r="D46" s="263"/>
      <c r="E46" s="236"/>
      <c r="F46" s="246"/>
      <c r="G46" s="247"/>
    </row>
    <row r="47" spans="1:7" s="214" customFormat="1" ht="13.5" customHeight="1">
      <c r="A47" s="779"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6067028</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4550271</v>
      </c>
      <c r="D51" s="232"/>
      <c r="E51" s="232"/>
      <c r="F51" s="264"/>
      <c r="G51" s="234" t="s">
        <v>1560</v>
      </c>
    </row>
    <row r="52" spans="1:7" s="208" customFormat="1" ht="16.5" thickBot="1">
      <c r="A52" s="265" t="s">
        <v>1561</v>
      </c>
      <c r="B52" s="266"/>
      <c r="C52" s="267">
        <f ca="1">C31+C51</f>
        <v>5106157</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930.34999999999991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930.34999999999991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930.34999999999991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2671</v>
      </c>
      <c r="C2" s="1998" t="s">
        <v>1935</v>
      </c>
      <c r="D2" s="1999" t="s">
        <v>1936</v>
      </c>
      <c r="E2" s="3420" t="s">
        <v>673</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Ⅱ—03</v>
      </c>
      <c r="J2" s="2001"/>
      <c r="K2" s="1118"/>
      <c r="L2" s="2002" t="s">
        <v>1939</v>
      </c>
      <c r="M2" s="863">
        <f>SUMPRODUCT((区片价!B10:B29=I2)*(区片价!C3:G3=E2)*(区片价!C10:G29))</f>
        <v>29640</v>
      </c>
      <c r="N2" s="865">
        <f>SUMPRODUCT((因素修正幅度!B10:B29=I2)*(因素修正幅度!C3:G3=E2)*(因素修正幅度!C10:G29))</f>
        <v>5.2999999999999999E-2</v>
      </c>
      <c r="O2" s="1118"/>
      <c r="P2" s="1118"/>
      <c r="Q2" s="1118"/>
      <c r="R2" s="1211">
        <v>1</v>
      </c>
      <c r="S2" s="3360">
        <f>ROUND(SUMPRODUCT((B106:B110=R2)*(C105:N105=G2)*(C106:N110)),4)</f>
        <v>1.5206</v>
      </c>
      <c r="T2" s="3360">
        <f t="shared" ref="T2:T16" si="0">ROUND($C$5*$C$22*$C$23*$C$24*S2*$C$28,0)</f>
        <v>38885</v>
      </c>
      <c r="U2" s="1212">
        <f>'数据-基础表'!I13</f>
        <v>186.07</v>
      </c>
      <c r="V2" s="3360">
        <f>ROUND(T2*U2/10000,0)</f>
        <v>724</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66" t="s">
        <v>2440</v>
      </c>
      <c r="F3" s="2003" t="s">
        <v>3403</v>
      </c>
      <c r="G3" s="751">
        <f>IF(F3="宗地容积率",'数据-汇总表'!I4,IF(F3="估价对象容积率",'数据-汇总表'!I6,'数据-汇总表'!I7))</f>
        <v>3.5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30871</v>
      </c>
      <c r="U3" s="1212">
        <f>'数据-基础表'!I14</f>
        <v>186.07</v>
      </c>
      <c r="V3" s="3360">
        <f t="shared" ref="V3:V16" si="1">ROUND(T3*U3/10000,0)</f>
        <v>574</v>
      </c>
      <c r="W3" s="1215"/>
      <c r="X3" s="1215"/>
      <c r="Y3" s="1215"/>
      <c r="Z3" s="1215"/>
      <c r="AA3" s="1215"/>
      <c r="AB3" s="1215"/>
      <c r="AC3" s="1216"/>
      <c r="AD3" s="1217"/>
      <c r="AE3" s="1217"/>
      <c r="AF3" s="1217"/>
      <c r="AG3" s="1217"/>
      <c r="AH3" s="1217"/>
      <c r="AI3" s="1217"/>
      <c r="AJ3" s="1218"/>
    </row>
    <row r="4" spans="1:36" ht="15.75">
      <c r="A4" s="3660"/>
      <c r="B4" s="3661"/>
      <c r="C4" s="3661"/>
      <c r="D4" s="3662"/>
      <c r="E4" s="3662"/>
      <c r="F4" s="3662"/>
      <c r="G4" s="3662"/>
      <c r="H4" s="3662"/>
      <c r="I4" s="3662"/>
      <c r="J4" s="36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26674</v>
      </c>
      <c r="U4" s="1212">
        <f>'数据-基础表'!I15</f>
        <v>186.07</v>
      </c>
      <c r="V4" s="3360">
        <f t="shared" si="1"/>
        <v>496</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29626</v>
      </c>
      <c r="D5" s="1338">
        <f>ROUND(C6*C17+C20,0)</f>
        <v>29626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24138</v>
      </c>
      <c r="U5" s="1212">
        <f>'数据-基础表'!I16</f>
        <v>186.07</v>
      </c>
      <c r="V5" s="3360">
        <f t="shared" si="1"/>
        <v>449</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29640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23005</v>
      </c>
      <c r="U6" s="1212">
        <f>'数据-基础表'!I17</f>
        <v>186.07</v>
      </c>
      <c r="V6" s="3360">
        <f t="shared" si="1"/>
        <v>428</v>
      </c>
      <c r="W6" s="1215"/>
      <c r="X6" s="1215"/>
      <c r="Y6" s="1215"/>
      <c r="Z6" s="1215"/>
      <c r="AA6" s="1215"/>
      <c r="AB6" s="1215"/>
      <c r="AC6" s="2010"/>
      <c r="AD6" s="2011"/>
      <c r="AE6" s="2011"/>
      <c r="AF6" s="2011"/>
      <c r="AG6" s="2011"/>
      <c r="AH6" s="2011"/>
      <c r="AI6" s="2011"/>
      <c r="AJ6" s="2012"/>
    </row>
    <row r="7" spans="1:36" ht="24.75" thickBot="1">
      <c r="A7" s="3303" t="s">
        <v>3238</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3.5</v>
      </c>
      <c r="AA7" s="1215"/>
      <c r="AB7" s="1215"/>
      <c r="AC7" s="1216"/>
      <c r="AD7" s="1217"/>
      <c r="AE7" s="1217"/>
      <c r="AF7" s="1217"/>
      <c r="AG7" s="1217"/>
      <c r="AH7" s="1217"/>
      <c r="AI7" s="1217"/>
      <c r="AJ7" s="1218"/>
    </row>
    <row r="8" spans="1:36" ht="25.5">
      <c r="A8" s="3298"/>
      <c r="B8" s="170" t="s">
        <v>1957</v>
      </c>
      <c r="C8" s="2025" t="s">
        <v>3404</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57" t="s">
        <v>1960</v>
      </c>
      <c r="X8" s="36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9"/>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64" t="s">
        <v>3255</v>
      </c>
      <c r="B20" s="167" t="s">
        <v>1994</v>
      </c>
      <c r="C20" s="3324">
        <f>ROUND(IF(F21="与级别开发程度一致",0,(G21-E21)/C21),0)</f>
        <v>-14</v>
      </c>
      <c r="D20" s="3340" t="s">
        <v>1998</v>
      </c>
      <c r="E20" s="3341"/>
      <c r="F20" s="3670" t="s">
        <v>1995</v>
      </c>
      <c r="G20" s="3671"/>
      <c r="H20" s="3325" t="s">
        <v>3406</v>
      </c>
      <c r="I20" s="3325" t="s">
        <v>3407</v>
      </c>
      <c r="J20" s="3326" t="s">
        <v>3408</v>
      </c>
      <c r="K20" s="2046" t="s">
        <v>3409</v>
      </c>
      <c r="L20" s="2046" t="s">
        <v>3410</v>
      </c>
      <c r="M20" s="2046" t="s">
        <v>3411</v>
      </c>
      <c r="N20" s="2046" t="s">
        <v>3412</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65"/>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3405</v>
      </c>
      <c r="G21" s="2156">
        <f>SUM(H21:O21)</f>
        <v>325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3" t="s">
        <v>2002</v>
      </c>
      <c r="E23" s="760">
        <v>44197</v>
      </c>
      <c r="F23" s="2053" t="s">
        <v>2003</v>
      </c>
      <c r="G23" s="761">
        <f>'数据-取费表'!B2</f>
        <v>45554</v>
      </c>
      <c r="H23" s="3342" t="s">
        <v>3257</v>
      </c>
      <c r="I23" s="3343" t="str">
        <f>IF(H23="季度增幅（自定义）",SUMIF(N25:N28,E2,O25:O28),"")</f>
        <v/>
      </c>
      <c r="J23" s="3444" t="s">
        <v>3256</v>
      </c>
      <c r="K23" s="1124"/>
      <c r="L23" s="2054" t="s">
        <v>2004</v>
      </c>
      <c r="M23" s="1327">
        <f>ROUND(SUMIF(地价!B2:G2,E2,地价!B16:G16),0)</f>
        <v>350</v>
      </c>
      <c r="N23" s="2055" t="s">
        <v>2005</v>
      </c>
      <c r="O23" s="762">
        <f>ROUNDDOWN(DATEDIF(E23,G23,"M")/3,0)</f>
        <v>14</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0.8024</v>
      </c>
      <c r="D24" s="2059" t="s">
        <v>2007</v>
      </c>
      <c r="E24" s="1334">
        <f>存贷款利率!E26/100</f>
        <v>4.3499999999999997E-2</v>
      </c>
      <c r="F24" s="2059" t="s">
        <v>1999</v>
      </c>
      <c r="G24" s="767">
        <f>SUMIF(M30:Q30,E2,M33:Q33)</f>
        <v>5.5E-2</v>
      </c>
      <c r="H24" s="2059" t="s">
        <v>2008</v>
      </c>
      <c r="I24" s="768">
        <f>SUMIF('数据-取费表'!C6:C15,E2,'数据-取费表'!F6:F15)/COUNTIF('数据-取费表'!C6:C15,E2)</f>
        <v>23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3413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1.0246999999999999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2671</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5">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8"/>
      <c r="B37" s="2112" t="s">
        <v>2036</v>
      </c>
      <c r="C37" s="175">
        <f>ROUND(D5*C22*C23*C24*C28*F37,0)</f>
        <v>17901</v>
      </c>
      <c r="D37" s="2097"/>
      <c r="E37" s="171">
        <f>ROUND(C37*D37/10000,0)</f>
        <v>0</v>
      </c>
      <c r="F37" s="171">
        <f>SUMIF(修正!A57:A68,G2,修正!B57:B68)</f>
        <v>0.7</v>
      </c>
      <c r="G37" s="171">
        <f>ROUND(IF(E2="工业",C37*$M$42,C37*$M$41),0)</f>
        <v>4475</v>
      </c>
      <c r="H37" s="171">
        <f>D37</f>
        <v>0</v>
      </c>
      <c r="I37" s="171">
        <f>ROUND(G37*H37/10000,0)</f>
        <v>0</v>
      </c>
      <c r="J37" s="3011"/>
      <c r="K37" s="3358" t="s">
        <v>3267</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9"/>
      <c r="B38" s="2040" t="s">
        <v>2037</v>
      </c>
      <c r="C38" s="175">
        <f>ROUND(D5*C22*C23*C24*C28*F38,0)</f>
        <v>10229</v>
      </c>
      <c r="D38" s="2097"/>
      <c r="E38" s="171">
        <f t="shared" ref="E38:E42" si="4">ROUND(C38*D38/10000,0)</f>
        <v>0</v>
      </c>
      <c r="F38" s="171">
        <f>SUMIF(修正!A57:A68,G2,修正!C57:C68)</f>
        <v>0.4</v>
      </c>
      <c r="G38" s="171">
        <f>ROUND(IF(E2="工业",C38*$M$42,C38*$M$41),0)</f>
        <v>2557</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9"/>
      <c r="B39" s="2040" t="s">
        <v>3260</v>
      </c>
      <c r="C39" s="175">
        <f>ROUND(D5*C22*C23*C24*C28*F39,0)</f>
        <v>7672</v>
      </c>
      <c r="D39" s="2097"/>
      <c r="E39" s="171">
        <f t="shared" si="4"/>
        <v>0</v>
      </c>
      <c r="F39" s="171">
        <f>SUMIF(修正!A57:A68,G2,修正!D57:D68)</f>
        <v>0.3</v>
      </c>
      <c r="G39" s="171">
        <f>ROUND(IF(E2="工业",C39*$M$42,C39*$M$41),0)</f>
        <v>1918</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7672</v>
      </c>
      <c r="D40" s="2097"/>
      <c r="E40" s="171">
        <f t="shared" si="4"/>
        <v>0</v>
      </c>
      <c r="F40" s="175">
        <f>SUMIF(修正!A57:A68,G2,修正!E57:E68)</f>
        <v>0.3</v>
      </c>
      <c r="G40" s="171">
        <f>ROUND(IF(E2="工业",C40*$M$42,C40*$M$41),0)</f>
        <v>1918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7270</v>
      </c>
      <c r="D41" s="2097"/>
      <c r="E41" s="171">
        <f t="shared" si="4"/>
        <v>0</v>
      </c>
      <c r="F41" s="175">
        <f>SUMIF(修正!A57:A68,G2,修正!F57:F68)</f>
        <v>0.3</v>
      </c>
      <c r="G41" s="171">
        <f>ROUND(IF(E2="工业",C41*$M$42,C41*$M$41),0)</f>
        <v>1818</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4847</v>
      </c>
      <c r="D42" s="2102"/>
      <c r="E42" s="187">
        <f t="shared" si="4"/>
        <v>0</v>
      </c>
      <c r="F42" s="766">
        <f>SUMIF(修正!A57:A68,G2,修正!G57:G68)</f>
        <v>0.2</v>
      </c>
      <c r="G42" s="187">
        <f>ROUND(IF(E2="工业",C42*$M$42,C42*$M$41),0)</f>
        <v>1212</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0.76039999999999996</v>
      </c>
      <c r="D44" s="171" t="s">
        <v>1999</v>
      </c>
      <c r="E44" s="2152">
        <f>G24</f>
        <v>5.5E-2</v>
      </c>
      <c r="F44" s="171" t="s">
        <v>2008</v>
      </c>
      <c r="G44" s="183">
        <f>项目基本情况!D15</f>
        <v>23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1.0246999999999999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3414</v>
      </c>
      <c r="D50" s="1064">
        <f t="shared" ref="D50:D58" si="7">SUMIF($J$49:$N$49,C50,J50:N50)</f>
        <v>7.9000000000000008E-3</v>
      </c>
      <c r="E50" s="743">
        <f>ROUND(SUM(D50:D58),4)</f>
        <v>2.47E-2</v>
      </c>
      <c r="F50" s="1813">
        <f>IF(E2="商业",SUMIF(L1:L12,G2,N1:N12),"——")</f>
        <v>5.2999999999999999E-2</v>
      </c>
      <c r="G50" s="1062">
        <f>H50</f>
        <v>7.9000000000000008E-3</v>
      </c>
      <c r="H50" s="1065">
        <f t="shared" ref="H50:H58" si="8">IFERROR(ROUNDDOWN($F$50*I50/2,4),"——")</f>
        <v>7.9000000000000008E-3</v>
      </c>
      <c r="I50" s="3366">
        <v>0.3</v>
      </c>
      <c r="J50" s="1063">
        <f t="shared" ref="J50:J58" si="9">K50+$G50</f>
        <v>1.5800000000000002E-2</v>
      </c>
      <c r="K50" s="1063">
        <f t="shared" ref="K50:K58" si="10">$L50+$G50</f>
        <v>7.9000000000000008E-3</v>
      </c>
      <c r="L50" s="1063">
        <v>0</v>
      </c>
      <c r="M50" s="1063">
        <f t="shared" ref="M50:N58" si="11">L50-$G50</f>
        <v>-7.9000000000000008E-3</v>
      </c>
      <c r="N50" s="1063">
        <f t="shared" si="11"/>
        <v>-1.5800000000000002E-2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3415</v>
      </c>
      <c r="D51" s="1064">
        <f t="shared" si="7"/>
        <v>1.1599999999999999E-2</v>
      </c>
      <c r="E51" s="744"/>
      <c r="F51" s="1813"/>
      <c r="G51" s="1062">
        <f t="shared" ref="G51:G58" si="12">H51</f>
        <v>5.7999999999999996E-3</v>
      </c>
      <c r="H51" s="1065">
        <f t="shared" si="8"/>
        <v>5.7999999999999996E-3</v>
      </c>
      <c r="I51" s="3366">
        <v>0.22</v>
      </c>
      <c r="J51" s="1063">
        <f t="shared" si="9"/>
        <v>1.1599999999999999E-2</v>
      </c>
      <c r="K51" s="1063">
        <f t="shared" si="10"/>
        <v>5.7999999999999996E-3</v>
      </c>
      <c r="L51" s="1063">
        <v>0</v>
      </c>
      <c r="M51" s="1063">
        <f t="shared" si="11"/>
        <v>-5.7999999999999996E-3</v>
      </c>
      <c r="N51" s="1063">
        <f t="shared" si="11"/>
        <v>-1.1599999999999999E-2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3416</v>
      </c>
      <c r="D52" s="1064">
        <f t="shared" si="7"/>
        <v>0</v>
      </c>
      <c r="E52" s="744"/>
      <c r="F52" s="1813"/>
      <c r="G52" s="1062">
        <f t="shared" si="12"/>
        <v>3.0999999999999999E-3</v>
      </c>
      <c r="H52" s="1065">
        <f t="shared" si="8"/>
        <v>3.0999999999999999E-3</v>
      </c>
      <c r="I52" s="3366">
        <v>0.12</v>
      </c>
      <c r="J52" s="1063">
        <f t="shared" si="9"/>
        <v>6.1999999999999998E-3</v>
      </c>
      <c r="K52" s="1063">
        <f t="shared" si="10"/>
        <v>3.0999999999999999E-3</v>
      </c>
      <c r="L52" s="1063">
        <v>0</v>
      </c>
      <c r="M52" s="1063">
        <f t="shared" si="11"/>
        <v>-3.0999999999999999E-3</v>
      </c>
      <c r="N52" s="1063">
        <f t="shared" si="11"/>
        <v>-6.1999999999999998E-3</v>
      </c>
      <c r="AA52" s="1119"/>
      <c r="AB52" s="1119"/>
      <c r="AC52" s="1119"/>
      <c r="AD52" s="1119"/>
      <c r="AE52" s="1119"/>
      <c r="AF52" s="1119"/>
      <c r="AG52" s="1119"/>
      <c r="AH52" s="1119"/>
      <c r="AI52" s="1119"/>
      <c r="AJ52" s="1119"/>
      <c r="AK52" s="1119"/>
    </row>
    <row r="53" spans="1:37" s="1118" customFormat="1" ht="36.75">
      <c r="A53" s="2129" t="s">
        <v>2054</v>
      </c>
      <c r="B53" s="2134" t="s">
        <v>2055</v>
      </c>
      <c r="C53" s="2043" t="s">
        <v>3416</v>
      </c>
      <c r="D53" s="1064">
        <f t="shared" si="7"/>
        <v>0</v>
      </c>
      <c r="E53" s="744"/>
      <c r="F53" s="1813"/>
      <c r="G53" s="1062">
        <f t="shared" si="12"/>
        <v>1.2999999999999999E-3</v>
      </c>
      <c r="H53" s="1065">
        <f t="shared" si="8"/>
        <v>1.2999999999999999E-3</v>
      </c>
      <c r="I53" s="3366">
        <v>0.05</v>
      </c>
      <c r="J53" s="1063">
        <f t="shared" si="9"/>
        <v>2.5999999999999999E-3</v>
      </c>
      <c r="K53" s="1063">
        <f t="shared" si="10"/>
        <v>1.2999999999999999E-3</v>
      </c>
      <c r="L53" s="1063">
        <v>0</v>
      </c>
      <c r="M53" s="1063">
        <f t="shared" si="11"/>
        <v>-1.2999999999999999E-3</v>
      </c>
      <c r="N53" s="1063">
        <f t="shared" si="11"/>
        <v>-2.5999999999999999E-3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3417</v>
      </c>
      <c r="D54" s="1064">
        <f t="shared" si="7"/>
        <v>-2.0999999999999999E-3</v>
      </c>
      <c r="E54" s="744"/>
      <c r="F54" s="1813"/>
      <c r="G54" s="1062">
        <f t="shared" si="12"/>
        <v>2.0999999999999999E-3</v>
      </c>
      <c r="H54" s="1065">
        <f t="shared" si="8"/>
        <v>2.0999999999999999E-3</v>
      </c>
      <c r="I54" s="3366">
        <v>0.08</v>
      </c>
      <c r="J54" s="1063">
        <f t="shared" si="9"/>
        <v>4.1999999999999997E-3</v>
      </c>
      <c r="K54" s="1063">
        <f t="shared" si="10"/>
        <v>2.0999999999999999E-3</v>
      </c>
      <c r="L54" s="1063">
        <v>0</v>
      </c>
      <c r="M54" s="1063">
        <f t="shared" si="11"/>
        <v>-2.0999999999999999E-3</v>
      </c>
      <c r="N54" s="1063">
        <f t="shared" si="11"/>
        <v>-4.1999999999999997E-3</v>
      </c>
      <c r="AA54" s="1119"/>
      <c r="AB54" s="1119"/>
      <c r="AC54" s="1119"/>
      <c r="AD54" s="1119"/>
      <c r="AE54" s="1119"/>
      <c r="AF54" s="1119"/>
      <c r="AG54" s="1119"/>
      <c r="AH54" s="1119"/>
      <c r="AI54" s="1119"/>
      <c r="AJ54" s="1119"/>
      <c r="AK54" s="1119"/>
    </row>
    <row r="55" spans="1:37" s="1118" customFormat="1" ht="24">
      <c r="A55" s="2129" t="s">
        <v>2057</v>
      </c>
      <c r="B55" s="2135" t="s">
        <v>2058</v>
      </c>
      <c r="C55" s="2043" t="s">
        <v>3414</v>
      </c>
      <c r="D55" s="1064">
        <f t="shared" si="7"/>
        <v>1.2999999999999999E-3</v>
      </c>
      <c r="E55" s="744"/>
      <c r="F55" s="1813"/>
      <c r="G55" s="1062">
        <f t="shared" si="12"/>
        <v>1.2999999999999999E-3</v>
      </c>
      <c r="H55" s="1065">
        <f t="shared" si="8"/>
        <v>1.2999999999999999E-3</v>
      </c>
      <c r="I55" s="3366">
        <v>0.05</v>
      </c>
      <c r="J55" s="1063">
        <f t="shared" si="9"/>
        <v>2.5999999999999999E-3</v>
      </c>
      <c r="K55" s="1063">
        <f t="shared" si="10"/>
        <v>1.2999999999999999E-3</v>
      </c>
      <c r="L55" s="1063">
        <v>0</v>
      </c>
      <c r="M55" s="1063">
        <f t="shared" si="11"/>
        <v>-1.2999999999999999E-3</v>
      </c>
      <c r="N55" s="1063">
        <f t="shared" si="11"/>
        <v>-2.5999999999999999E-3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3414</v>
      </c>
      <c r="D56" s="1064">
        <f t="shared" si="7"/>
        <v>1.2999999999999999E-3</v>
      </c>
      <c r="E56" s="744"/>
      <c r="F56" s="1813"/>
      <c r="G56" s="1062">
        <f t="shared" si="12"/>
        <v>1.2999999999999999E-3</v>
      </c>
      <c r="H56" s="1065">
        <f t="shared" si="8"/>
        <v>1.2999999999999999E-3</v>
      </c>
      <c r="I56" s="3366">
        <v>0.05</v>
      </c>
      <c r="J56" s="1063">
        <f t="shared" si="9"/>
        <v>2.5999999999999999E-3</v>
      </c>
      <c r="K56" s="1063">
        <f t="shared" si="10"/>
        <v>1.2999999999999999E-3</v>
      </c>
      <c r="L56" s="1063">
        <v>0</v>
      </c>
      <c r="M56" s="1063">
        <f t="shared" si="11"/>
        <v>-1.2999999999999999E-3</v>
      </c>
      <c r="N56" s="1063">
        <f t="shared" si="11"/>
        <v>-2.5999999999999999E-3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3414</v>
      </c>
      <c r="D57" s="1064">
        <f t="shared" si="7"/>
        <v>2.0999999999999999E-3</v>
      </c>
      <c r="E57" s="744"/>
      <c r="F57" s="1813"/>
      <c r="G57" s="1062">
        <f t="shared" si="12"/>
        <v>2.0999999999999999E-3</v>
      </c>
      <c r="H57" s="1065">
        <f t="shared" si="8"/>
        <v>2.0999999999999999E-3</v>
      </c>
      <c r="I57" s="3366">
        <v>0.08</v>
      </c>
      <c r="J57" s="1063">
        <f t="shared" si="9"/>
        <v>4.1999999999999997E-3</v>
      </c>
      <c r="K57" s="1063">
        <f t="shared" si="10"/>
        <v>2.0999999999999999E-3</v>
      </c>
      <c r="L57" s="1063">
        <v>0</v>
      </c>
      <c r="M57" s="1063">
        <f t="shared" si="11"/>
        <v>-2.0999999999999999E-3</v>
      </c>
      <c r="N57" s="1063">
        <f t="shared" si="11"/>
        <v>-4.1999999999999997E-3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3415</v>
      </c>
      <c r="D58" s="1064">
        <f t="shared" si="7"/>
        <v>2.5999999999999999E-3</v>
      </c>
      <c r="E58" s="745"/>
      <c r="F58" s="1813"/>
      <c r="G58" s="1062">
        <f t="shared" si="12"/>
        <v>1.2999999999999999E-3</v>
      </c>
      <c r="H58" s="1065">
        <f t="shared" si="8"/>
        <v>1.2999999999999999E-3</v>
      </c>
      <c r="I58" s="3367">
        <v>0.05</v>
      </c>
      <c r="J58" s="1063">
        <f t="shared" si="9"/>
        <v>2.5999999999999999E-3</v>
      </c>
      <c r="K58" s="1063">
        <f t="shared" si="10"/>
        <v>1.2999999999999999E-3</v>
      </c>
      <c r="L58" s="1063">
        <v>0</v>
      </c>
      <c r="M58" s="1063">
        <f t="shared" si="11"/>
        <v>-1.2999999999999999E-3</v>
      </c>
      <c r="N58" s="1063">
        <f t="shared" si="11"/>
        <v>-2.5999999999999999E-3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3271</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19"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3274</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19" t="str">
        <f>IFERROR(ROUNDDOWN($F$93*I94/2,4),"——")</f>
        <v>——</v>
      </c>
      <c r="I94" s="3366">
        <v>0.26</v>
      </c>
      <c r="J94" s="3344">
        <f t="shared" si="28"/>
        <v>0</v>
      </c>
      <c r="K94" s="3344">
        <f t="shared" si="29"/>
        <v>0</v>
      </c>
      <c r="L94" s="3344">
        <v>0</v>
      </c>
      <c r="M94" s="3344">
        <f t="shared" si="30"/>
        <v>0</v>
      </c>
      <c r="N94" s="3344">
        <f t="shared" si="30"/>
        <v>0</v>
      </c>
    </row>
    <row r="95" spans="1:37" ht="36">
      <c r="A95" s="3368" t="s">
        <v>3270</v>
      </c>
      <c r="B95" s="3369">
        <f>估价对象房地状况!C19</f>
        <v>0</v>
      </c>
      <c r="C95" s="2043"/>
      <c r="D95" s="3365">
        <f t="shared" si="31"/>
        <v>0</v>
      </c>
      <c r="E95" s="3382"/>
      <c r="F95" s="1813"/>
      <c r="G95" s="3372"/>
      <c r="H95" s="3419"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3275</v>
      </c>
      <c r="B96" s="3384" t="s">
        <v>3286</v>
      </c>
      <c r="C96" s="2043"/>
      <c r="D96" s="3365">
        <f t="shared" si="31"/>
        <v>0</v>
      </c>
      <c r="E96" s="3382"/>
      <c r="F96" s="1813"/>
      <c r="G96" s="3372"/>
      <c r="H96" s="3419" t="str">
        <f t="shared" si="32"/>
        <v>——</v>
      </c>
      <c r="I96" s="3366">
        <v>0.05</v>
      </c>
      <c r="J96" s="3344">
        <f t="shared" si="28"/>
        <v>0</v>
      </c>
      <c r="K96" s="3344">
        <f t="shared" si="29"/>
        <v>0</v>
      </c>
      <c r="L96" s="3344">
        <v>0</v>
      </c>
      <c r="M96" s="3344">
        <f t="shared" si="30"/>
        <v>0</v>
      </c>
      <c r="N96" s="3344">
        <f t="shared" si="30"/>
        <v>0</v>
      </c>
    </row>
    <row r="97" spans="1:14" ht="24">
      <c r="A97" s="3378" t="s">
        <v>3276</v>
      </c>
      <c r="B97" s="3369">
        <f>估价对象房地状况!C24</f>
        <v>0</v>
      </c>
      <c r="C97" s="2043"/>
      <c r="D97" s="3365">
        <f t="shared" si="31"/>
        <v>0</v>
      </c>
      <c r="E97" s="3382"/>
      <c r="F97" s="1813"/>
      <c r="G97" s="3372"/>
      <c r="H97" s="3419" t="str">
        <f t="shared" si="32"/>
        <v>——</v>
      </c>
      <c r="I97" s="3366">
        <v>0.05</v>
      </c>
      <c r="J97" s="3344">
        <f t="shared" si="28"/>
        <v>0</v>
      </c>
      <c r="K97" s="3344">
        <f t="shared" si="29"/>
        <v>0</v>
      </c>
      <c r="L97" s="3344">
        <v>0</v>
      </c>
      <c r="M97" s="3344">
        <f t="shared" si="30"/>
        <v>0</v>
      </c>
      <c r="N97" s="3344">
        <f t="shared" si="30"/>
        <v>0</v>
      </c>
    </row>
    <row r="98" spans="1:14" ht="24">
      <c r="A98" s="3378" t="s">
        <v>3277</v>
      </c>
      <c r="B98" s="3385" t="s">
        <v>3287</v>
      </c>
      <c r="C98" s="2043"/>
      <c r="D98" s="3365">
        <f t="shared" si="31"/>
        <v>0</v>
      </c>
      <c r="E98" s="3382"/>
      <c r="F98" s="1813"/>
      <c r="G98" s="3372"/>
      <c r="H98" s="3419" t="str">
        <f t="shared" si="32"/>
        <v>——</v>
      </c>
      <c r="I98" s="3366">
        <v>0.06</v>
      </c>
      <c r="J98" s="3344">
        <f t="shared" si="28"/>
        <v>0</v>
      </c>
      <c r="K98" s="3344">
        <f t="shared" si="29"/>
        <v>0</v>
      </c>
      <c r="L98" s="3344">
        <v>0</v>
      </c>
      <c r="M98" s="3344">
        <f t="shared" si="30"/>
        <v>0</v>
      </c>
      <c r="N98" s="3344">
        <f t="shared" si="30"/>
        <v>0</v>
      </c>
    </row>
    <row r="99" spans="1:14" ht="25.5">
      <c r="A99" s="3378" t="s">
        <v>3278</v>
      </c>
      <c r="B99" s="3369" t="str">
        <f>估价对象房地状况!C21</f>
        <v>估价对象所在区域公共配套设施齐备情况</v>
      </c>
      <c r="C99" s="2043"/>
      <c r="D99" s="3365">
        <f t="shared" si="31"/>
        <v>0</v>
      </c>
      <c r="E99" s="3382"/>
      <c r="F99" s="1813"/>
      <c r="G99" s="3372"/>
      <c r="H99" s="3419" t="str">
        <f t="shared" si="32"/>
        <v>——</v>
      </c>
      <c r="I99" s="3366">
        <v>0.06</v>
      </c>
      <c r="J99" s="3344">
        <f t="shared" si="28"/>
        <v>0</v>
      </c>
      <c r="K99" s="3344">
        <f t="shared" si="29"/>
        <v>0</v>
      </c>
      <c r="L99" s="3344">
        <v>0</v>
      </c>
      <c r="M99" s="3344">
        <f t="shared" si="30"/>
        <v>0</v>
      </c>
      <c r="N99" s="3344">
        <f t="shared" si="30"/>
        <v>0</v>
      </c>
    </row>
    <row r="100" spans="1:14" ht="25.5">
      <c r="A100" s="3378" t="s">
        <v>3279</v>
      </c>
      <c r="B100" s="3369" t="str">
        <f>估价对象房地状况!C22</f>
        <v>估价对象所在区域基础设施水平</v>
      </c>
      <c r="C100" s="2043"/>
      <c r="D100" s="3365">
        <f t="shared" si="31"/>
        <v>0</v>
      </c>
      <c r="E100" s="3382"/>
      <c r="F100" s="1813"/>
      <c r="G100" s="3372"/>
      <c r="H100" s="3419" t="str">
        <f t="shared" si="32"/>
        <v>——</v>
      </c>
      <c r="I100" s="3366">
        <v>0.09</v>
      </c>
      <c r="J100" s="3344">
        <f t="shared" si="28"/>
        <v>0</v>
      </c>
      <c r="K100" s="3344">
        <f t="shared" si="29"/>
        <v>0</v>
      </c>
      <c r="L100" s="3344">
        <v>0</v>
      </c>
      <c r="M100" s="3344">
        <f t="shared" si="30"/>
        <v>0</v>
      </c>
      <c r="N100" s="3344">
        <f t="shared" si="30"/>
        <v>0</v>
      </c>
    </row>
    <row r="101" spans="1:14" ht="26.25" thickBot="1">
      <c r="A101" s="3379" t="s">
        <v>3280</v>
      </c>
      <c r="B101" s="3386" t="str">
        <f>估价对象房地状况!C20</f>
        <v>区域自然环境：；人文环境；综合评价环境状况一般</v>
      </c>
      <c r="C101" s="2043"/>
      <c r="D101" s="3365">
        <f t="shared" si="31"/>
        <v>0</v>
      </c>
      <c r="E101" s="3383"/>
      <c r="F101" s="1813"/>
      <c r="G101" s="3372"/>
      <c r="H101" s="3419" t="str">
        <f t="shared" si="32"/>
        <v>——</v>
      </c>
      <c r="I101" s="3367">
        <v>7.0000000000000007E-2</v>
      </c>
      <c r="J101" s="3344">
        <f t="shared" si="28"/>
        <v>0</v>
      </c>
      <c r="K101" s="3344">
        <f t="shared" si="29"/>
        <v>0</v>
      </c>
      <c r="L101" s="3344">
        <v>0</v>
      </c>
      <c r="M101" s="3344">
        <f t="shared" si="30"/>
        <v>0</v>
      </c>
      <c r="N101" s="3344">
        <f t="shared" si="30"/>
        <v>0</v>
      </c>
    </row>
    <row r="103" spans="1:14">
      <c r="A103" s="3666" t="s">
        <v>3295</v>
      </c>
      <c r="B103" s="3666"/>
      <c r="C103" s="3666"/>
      <c r="D103" s="3666"/>
      <c r="E103" s="3666"/>
      <c r="F103" s="3666"/>
      <c r="G103" s="3666"/>
      <c r="H103" s="3666"/>
      <c r="I103" s="3666"/>
      <c r="J103" s="3666"/>
      <c r="K103" s="3389"/>
      <c r="L103" s="3389"/>
      <c r="M103" s="3389"/>
      <c r="N103" s="3389"/>
    </row>
    <row r="104" spans="1:14">
      <c r="A104" s="3667" t="s">
        <v>3296</v>
      </c>
      <c r="B104" s="3667" t="s">
        <v>3297</v>
      </c>
      <c r="C104" s="3390" t="s">
        <v>3298</v>
      </c>
      <c r="D104" s="3391"/>
      <c r="E104" s="3391"/>
      <c r="F104" s="3391"/>
      <c r="G104" s="3391"/>
      <c r="H104" s="3391"/>
      <c r="I104" s="3391"/>
      <c r="J104" s="3392"/>
      <c r="K104" s="3393"/>
      <c r="L104" s="3393"/>
      <c r="M104" s="3393"/>
      <c r="N104" s="3393"/>
    </row>
    <row r="105" spans="1:14">
      <c r="A105" s="3667"/>
      <c r="B105" s="3667"/>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653"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54"/>
      <c r="B111" s="3394" t="s">
        <v>3269</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5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56" t="s">
        <v>3312</v>
      </c>
      <c r="B113" s="3656"/>
      <c r="C113" s="3656"/>
      <c r="D113" s="3656"/>
      <c r="E113" s="3656"/>
      <c r="F113" s="3656"/>
      <c r="G113" s="3656"/>
      <c r="H113" s="3656"/>
      <c r="I113" s="3656"/>
      <c r="J113" s="36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3.5</v>
      </c>
      <c r="C116" s="3399" t="s">
        <v>3314</v>
      </c>
      <c r="D116" s="3400">
        <f>SUMPRODUCT((A118:A122=F116)*(B117:M117=H116)*B118:M122)</f>
        <v>0.95830000000000004</v>
      </c>
      <c r="E116" s="1999" t="s">
        <v>3315</v>
      </c>
      <c r="F116" s="3401" t="str">
        <f>E2</f>
        <v>商业</v>
      </c>
      <c r="G116" s="1999" t="s">
        <v>3316</v>
      </c>
      <c r="H116" s="3401" t="str">
        <f>G2</f>
        <v>二级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0.95830000000000004</v>
      </c>
      <c r="C118" s="3387">
        <f>B118</f>
        <v>0.95830000000000004</v>
      </c>
      <c r="D118" s="3387">
        <f>ROUND(0.949-0.014*B116,4)</f>
        <v>0.9</v>
      </c>
      <c r="E118" s="3387">
        <f>D118</f>
        <v>0.9</v>
      </c>
      <c r="F118" s="3387">
        <f>E118</f>
        <v>0.9</v>
      </c>
      <c r="G118" s="3387">
        <f>F118</f>
        <v>0.9</v>
      </c>
      <c r="H118" s="3387">
        <f>G118</f>
        <v>0.9</v>
      </c>
      <c r="I118" s="3387">
        <f>ROUND(0.8486-0.018*B116,4)</f>
        <v>0.78559999999999997</v>
      </c>
      <c r="J118" s="3387">
        <f t="shared" ref="J118:M122" si="36">I118</f>
        <v>0.78559999999999997</v>
      </c>
      <c r="K118" s="3387">
        <f t="shared" si="36"/>
        <v>0.78559999999999997</v>
      </c>
      <c r="L118" s="3387">
        <f t="shared" si="36"/>
        <v>0.78559999999999997</v>
      </c>
      <c r="M118" s="3410">
        <f t="shared" si="36"/>
        <v>0.78559999999999997</v>
      </c>
      <c r="N118" s="3397"/>
    </row>
    <row r="119" spans="1:14">
      <c r="A119" s="3409" t="s">
        <v>3330</v>
      </c>
      <c r="B119" s="3387">
        <f>ROUND(0.993-0.0112*B116,4)</f>
        <v>0.95379999999999998</v>
      </c>
      <c r="C119" s="3387">
        <f>B119</f>
        <v>0.95379999999999998</v>
      </c>
      <c r="D119" s="3387">
        <f>ROUND(0.9415-0.0142*B116,4)</f>
        <v>0.89180000000000004</v>
      </c>
      <c r="E119" s="3387">
        <f t="shared" ref="E119:H120" si="37">D119</f>
        <v>0.89180000000000004</v>
      </c>
      <c r="F119" s="3387">
        <f t="shared" si="37"/>
        <v>0.89180000000000004</v>
      </c>
      <c r="G119" s="3387">
        <f t="shared" si="37"/>
        <v>0.89180000000000004</v>
      </c>
      <c r="H119" s="3387">
        <f t="shared" si="37"/>
        <v>0.89180000000000004</v>
      </c>
      <c r="I119" s="3387">
        <f>ROUND(0.838-0.0182*B116,4)</f>
        <v>0.77429999999999999</v>
      </c>
      <c r="J119" s="3387">
        <f t="shared" si="36"/>
        <v>0.77429999999999999</v>
      </c>
      <c r="K119" s="3387">
        <f t="shared" si="36"/>
        <v>0.77429999999999999</v>
      </c>
      <c r="L119" s="3387">
        <f t="shared" si="36"/>
        <v>0.77429999999999999</v>
      </c>
      <c r="M119" s="3410">
        <f t="shared" si="36"/>
        <v>0.77429999999999999</v>
      </c>
      <c r="N119" s="3397"/>
    </row>
    <row r="120" spans="1:14">
      <c r="A120" s="3409" t="s">
        <v>3331</v>
      </c>
      <c r="B120" s="3387">
        <f>ROUND(0.9448-0.0115*B116,4)</f>
        <v>0.90459999999999996</v>
      </c>
      <c r="C120" s="3387">
        <f>B120</f>
        <v>0.90459999999999996</v>
      </c>
      <c r="D120" s="3387">
        <f>ROUND(0.937-0.0145*B116,4)</f>
        <v>0.88629999999999998</v>
      </c>
      <c r="E120" s="3387">
        <f t="shared" si="37"/>
        <v>0.88629999999999998</v>
      </c>
      <c r="F120" s="3387">
        <f t="shared" si="37"/>
        <v>0.88629999999999998</v>
      </c>
      <c r="G120" s="3387">
        <f t="shared" si="37"/>
        <v>0.88629999999999998</v>
      </c>
      <c r="H120" s="3387">
        <f t="shared" si="37"/>
        <v>0.88629999999999998</v>
      </c>
      <c r="I120" s="3387">
        <f>ROUND(0.7965-0.0185*B116,4)</f>
        <v>0.73180000000000001</v>
      </c>
      <c r="J120" s="3387">
        <f t="shared" si="36"/>
        <v>0.73180000000000001</v>
      </c>
      <c r="K120" s="3387">
        <f t="shared" si="36"/>
        <v>0.73180000000000001</v>
      </c>
      <c r="L120" s="3387">
        <f t="shared" si="36"/>
        <v>0.73180000000000001</v>
      </c>
      <c r="M120" s="3410">
        <f t="shared" si="36"/>
        <v>0.73180000000000001</v>
      </c>
      <c r="N120" s="3397"/>
    </row>
    <row r="121" spans="1:14" ht="13.5" thickBot="1">
      <c r="A121" s="3411" t="s">
        <v>3332</v>
      </c>
      <c r="B121" s="3412">
        <f>ROUND(0.7836-0.012*B116,4)</f>
        <v>0.74160000000000004</v>
      </c>
      <c r="C121" s="3412">
        <f>B121</f>
        <v>0.74160000000000004</v>
      </c>
      <c r="D121" s="3412">
        <f>ROUND(0.753-0.015*B116,4)</f>
        <v>0.70050000000000001</v>
      </c>
      <c r="E121" s="3412">
        <f>D121</f>
        <v>0.70050000000000001</v>
      </c>
      <c r="F121" s="3412">
        <f>E121</f>
        <v>0.70050000000000001</v>
      </c>
      <c r="G121" s="3412">
        <f>ROUND(0.6612-0.018*B116,4)</f>
        <v>0.59819999999999995</v>
      </c>
      <c r="H121" s="3412">
        <f>G121</f>
        <v>0.59819999999999995</v>
      </c>
      <c r="I121" s="3412">
        <f>ROUND(0.5905-0.019*B116,4)</f>
        <v>0.52400000000000002</v>
      </c>
      <c r="J121" s="3412">
        <f t="shared" si="36"/>
        <v>0.52400000000000002</v>
      </c>
      <c r="K121" s="3412">
        <f t="shared" si="36"/>
        <v>0.52400000000000002</v>
      </c>
      <c r="L121" s="3412">
        <f t="shared" si="36"/>
        <v>0.52400000000000002</v>
      </c>
      <c r="M121" s="3413">
        <f t="shared" si="36"/>
        <v>0.52400000000000002</v>
      </c>
      <c r="N121" s="3397"/>
    </row>
    <row r="122" spans="1:14">
      <c r="A122" s="3414" t="s">
        <v>2613</v>
      </c>
      <c r="B122" s="3387">
        <f>ROUND(0.9404-0.0106*B116,4)</f>
        <v>0.90329999999999999</v>
      </c>
      <c r="C122" s="3387">
        <f>B122</f>
        <v>0.90329999999999999</v>
      </c>
      <c r="D122" s="3387">
        <f>ROUND(0.8955-0.0135*B116,4)</f>
        <v>0.84830000000000005</v>
      </c>
      <c r="E122" s="3387">
        <f t="shared" ref="E122:H122" si="38">D122</f>
        <v>0.84830000000000005</v>
      </c>
      <c r="F122" s="3387">
        <f t="shared" si="38"/>
        <v>0.84830000000000005</v>
      </c>
      <c r="G122" s="3387">
        <f t="shared" si="38"/>
        <v>0.84830000000000005</v>
      </c>
      <c r="H122" s="3387">
        <f t="shared" si="38"/>
        <v>0.84830000000000005</v>
      </c>
      <c r="I122" s="3387">
        <f>ROUND(0.7632-0.0166*B116,4)</f>
        <v>0.70509999999999995</v>
      </c>
      <c r="J122" s="3387">
        <f t="shared" si="36"/>
        <v>0.70509999999999995</v>
      </c>
      <c r="K122" s="3387">
        <f t="shared" si="36"/>
        <v>0.70509999999999995</v>
      </c>
      <c r="L122" s="3387">
        <f t="shared" si="36"/>
        <v>0.70509999999999995</v>
      </c>
      <c r="M122" s="3410">
        <f t="shared" si="36"/>
        <v>0.70509999999999995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3395</v>
      </c>
      <c r="D1" s="1361" t="s">
        <v>43</v>
      </c>
      <c r="E1" s="1362" t="s">
        <v>678</v>
      </c>
      <c r="F1" s="1061">
        <f ca="1">J53</f>
        <v>23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3500</v>
      </c>
      <c r="C2" s="1386" t="s">
        <v>805</v>
      </c>
      <c r="D2" s="1386"/>
      <c r="E2" s="1387"/>
      <c r="F2" s="1388"/>
      <c r="G2" s="2705"/>
      <c r="H2" s="2694"/>
      <c r="I2" s="2694"/>
      <c r="J2" s="2694"/>
      <c r="K2" s="2695"/>
      <c r="L2" s="2694"/>
      <c r="M2" s="2694"/>
    </row>
    <row r="3" spans="1:37" ht="18" customHeight="1" thickBot="1">
      <c r="A3" s="1389" t="s">
        <v>806</v>
      </c>
      <c r="B3" s="1390">
        <f ca="1">IF(ISERROR(B2*10000/F43),0,ROUND(B2*10000/F43,0))</f>
        <v>37620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260</v>
      </c>
      <c r="D5" s="1363" t="s">
        <v>693</v>
      </c>
      <c r="E5" s="1070"/>
      <c r="F5" s="1071"/>
      <c r="G5" s="1383"/>
      <c r="H5" s="299">
        <v>1</v>
      </c>
      <c r="I5" s="300" t="s">
        <v>692</v>
      </c>
      <c r="J5" s="1069">
        <f ca="1">J6+J10+J12</f>
        <v>0</v>
      </c>
      <c r="K5" s="1363" t="s">
        <v>693</v>
      </c>
      <c r="L5" s="1070"/>
      <c r="M5" s="1071"/>
    </row>
    <row r="6" spans="1:37" ht="18" customHeight="1">
      <c r="A6" s="1068" t="s">
        <v>398</v>
      </c>
      <c r="B6" s="3674" t="s">
        <v>694</v>
      </c>
      <c r="C6" s="1073">
        <f ca="1">ROUND(F6*F8*F7*(1-F9)/10000,0)</f>
        <v>260</v>
      </c>
      <c r="D6" s="155" t="s">
        <v>2108</v>
      </c>
      <c r="E6" s="302" t="s">
        <v>696</v>
      </c>
      <c r="F6" s="303">
        <f ca="1">INDIRECT("'数据-取费表'!u"&amp;$G$1)</f>
        <v>8.5</v>
      </c>
      <c r="G6" s="1383"/>
      <c r="H6" s="1068" t="s">
        <v>398</v>
      </c>
      <c r="I6" s="3674" t="s">
        <v>694</v>
      </c>
      <c r="J6" s="301">
        <f ca="1">ROUND(M6*M8*M7*(1-M9)/10000,0)</f>
        <v>0</v>
      </c>
      <c r="K6" s="155" t="s">
        <v>2107</v>
      </c>
      <c r="L6" s="302" t="s">
        <v>696</v>
      </c>
      <c r="M6" s="303">
        <f ca="1">INDIRECT("'数据-取费表'!z"&amp;$G$1)</f>
        <v>0</v>
      </c>
    </row>
    <row r="7" spans="1:37" ht="18" customHeight="1">
      <c r="A7" s="1072"/>
      <c r="B7" s="3675"/>
      <c r="C7" s="1074"/>
      <c r="D7" s="307"/>
      <c r="E7" s="1075" t="s">
        <v>697</v>
      </c>
      <c r="F7" s="303">
        <f ca="1">IF(INDIRECT("'数据-取费表'!ah"&amp;$G$1)="",INDIRECT("'数据-取费表'!k"&amp;$G$1),INDIRECT("'数据-取费表'!ah"&amp;$G$1))</f>
        <v>930.34999999999991</v>
      </c>
      <c r="G7" s="1383"/>
      <c r="H7" s="304"/>
      <c r="I7" s="3675"/>
      <c r="J7" s="306"/>
      <c r="K7" s="307"/>
      <c r="L7" s="302" t="s">
        <v>697</v>
      </c>
      <c r="M7" s="303">
        <f ca="1">F7</f>
        <v>930.34999999999991</v>
      </c>
    </row>
    <row r="8" spans="1:37" ht="18" customHeight="1">
      <c r="A8" s="304"/>
      <c r="B8" s="3675"/>
      <c r="C8" s="306"/>
      <c r="D8" s="307"/>
      <c r="E8" s="302" t="s">
        <v>698</v>
      </c>
      <c r="F8" s="303">
        <f ca="1">INDIRECT("'数据-取费表'!ai"&amp;$G$1)</f>
        <v>365</v>
      </c>
      <c r="G8" s="1383"/>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3"/>
      <c r="H9" s="304"/>
      <c r="I9" s="367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3398</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456</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372</v>
      </c>
      <c r="D14" s="1344" t="s">
        <v>708</v>
      </c>
      <c r="E14" s="1341"/>
      <c r="F14" s="319"/>
      <c r="G14" s="1383"/>
      <c r="H14" s="981" t="s">
        <v>398</v>
      </c>
      <c r="I14" s="302" t="s">
        <v>709</v>
      </c>
      <c r="J14" s="21">
        <f ca="1">C29</f>
        <v>608</v>
      </c>
      <c r="K14" s="12"/>
      <c r="L14" s="806"/>
      <c r="M14" s="807"/>
    </row>
    <row r="15" spans="1:37" s="1396" customFormat="1" ht="18" customHeight="1" thickBot="1">
      <c r="A15" s="981" t="s">
        <v>399</v>
      </c>
      <c r="B15" s="302" t="s">
        <v>710</v>
      </c>
      <c r="C15" s="21">
        <f ca="1">ROUND(C14*F15,0)</f>
        <v>19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3</v>
      </c>
      <c r="K16" s="1086" t="s">
        <v>715</v>
      </c>
      <c r="L16" s="1087"/>
      <c r="M16" s="1071"/>
    </row>
    <row r="17" spans="1:37" s="1396" customFormat="1" ht="18" customHeight="1">
      <c r="A17" s="981" t="s">
        <v>681</v>
      </c>
      <c r="B17" s="302" t="s">
        <v>716</v>
      </c>
      <c r="C17" s="21">
        <f ca="1">ROUND(F17*(F43+INDIRECT("'数据-取费表'!S"&amp;$G$1))/10000,0)</f>
        <v>19</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417</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13</v>
      </c>
      <c r="D20" s="323" t="s">
        <v>729</v>
      </c>
      <c r="E20" s="302" t="s">
        <v>712</v>
      </c>
      <c r="F20" s="322">
        <f>'数据-取费表'!B37</f>
        <v>0.03</v>
      </c>
      <c r="G20" s="1395"/>
      <c r="H20" s="981"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3.04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v>
      </c>
      <c r="K25" s="1094" t="s">
        <v>753</v>
      </c>
      <c r="L25" s="1095"/>
      <c r="M25" s="1096"/>
    </row>
    <row r="26" spans="1:37">
      <c r="A26" s="981" t="s">
        <v>397</v>
      </c>
      <c r="B26" s="302" t="s">
        <v>754</v>
      </c>
      <c r="C26" s="21">
        <f ca="1">ROUND((C19+C20)*F26,0)</f>
        <v>108</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608</v>
      </c>
      <c r="D29" s="1091"/>
      <c r="E29" s="1089"/>
      <c r="F29" s="1092"/>
      <c r="G29" s="1395"/>
      <c r="H29" s="334" t="s">
        <v>396</v>
      </c>
      <c r="I29" s="335" t="s">
        <v>768</v>
      </c>
      <c r="J29" s="336">
        <f ca="1">ROUND(J26/(1+F40)^F41,0)</f>
        <v>0</v>
      </c>
      <c r="K29" s="337" t="s">
        <v>769</v>
      </c>
      <c r="L29" s="338"/>
      <c r="M29" s="339">
        <f ca="1">INDIRECT("'数据-取费表'!k"&amp;$G$1)</f>
        <v>930.34999999999991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29.71</v>
      </c>
      <c r="D31" s="1344" t="s">
        <v>720</v>
      </c>
      <c r="E31" s="1343" t="s">
        <v>770</v>
      </c>
      <c r="F31" s="2314">
        <f ca="1">IF(项目基本情况!B11="企业","——",IF(M47="住宅",IF(F6*F7*F8/12/(1+'数据-取费表'!F30)&gt;100000,4%,2.5%),IF(F6*F7*F8/12/(1+'数据-取费表'!F30)&gt;100000,12%,7%)))</f>
        <v>0.12</v>
      </c>
      <c r="G31" s="1383"/>
      <c r="H31" s="2807" t="s">
        <v>2307</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24</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3.04</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0.46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2.6</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224</v>
      </c>
      <c r="D39" s="1094" t="s">
        <v>773</v>
      </c>
      <c r="E39" s="1095"/>
      <c r="F39" s="1096"/>
      <c r="G39" s="1383"/>
      <c r="H39" s="2699"/>
      <c r="I39" s="1397"/>
      <c r="J39" s="1398"/>
      <c r="K39" s="2703"/>
      <c r="L39" s="2699"/>
      <c r="M39" s="2699"/>
    </row>
    <row r="40" spans="1:18" ht="18" customHeight="1">
      <c r="A40" s="299" t="s">
        <v>395</v>
      </c>
      <c r="B40" s="300" t="s">
        <v>774</v>
      </c>
      <c r="C40" s="301">
        <f ca="1">ROUND(C39*(1-((1+F42)/(1+F40))^F41)/(F40-F42),0)</f>
        <v>3454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37126</v>
      </c>
      <c r="D43" s="337" t="s">
        <v>777</v>
      </c>
      <c r="E43" s="338" t="s">
        <v>778</v>
      </c>
      <c r="F43" s="339">
        <f ca="1">INDIRECT("'数据-取费表'!k"&amp;$G$1)</f>
        <v>930.34999999999991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-3506</v>
      </c>
      <c r="D46" s="1405" t="str">
        <f>C2</f>
        <v>万元</v>
      </c>
      <c r="E46" s="1399"/>
      <c r="F46" s="1399"/>
      <c r="I46" s="1406" t="s">
        <v>810</v>
      </c>
      <c r="J46" s="1407"/>
      <c r="K46" s="1408"/>
      <c r="L46" s="1409">
        <f ca="1">IF(M47="住宅",0,IF(L48&gt;J51,L60,J60))</f>
        <v>46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3399</v>
      </c>
      <c r="K47" s="1415" t="s">
        <v>816</v>
      </c>
      <c r="L47" s="1416">
        <f ca="1">INDIRECT("'数据-取费表'!d"&amp;$G$1)</f>
        <v>40</v>
      </c>
      <c r="M47" s="1379" t="str">
        <f>IF(ISNUMBER(FIND("住宅",C1)),"住宅","非住宅")</f>
        <v>非住宅</v>
      </c>
      <c r="O47" s="1417" t="s">
        <v>403</v>
      </c>
      <c r="P47" s="1418" t="s">
        <v>817</v>
      </c>
      <c r="Q47" s="1419">
        <f ca="1">C40+J29</f>
        <v>3454</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23</v>
      </c>
      <c r="O48" s="1417" t="s">
        <v>404</v>
      </c>
      <c r="P48" s="1418" t="s">
        <v>821</v>
      </c>
      <c r="Q48" s="1419">
        <f ca="1">J60</f>
        <v>46</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f>'数据-取费表'!N19</f>
        <v>2009</v>
      </c>
      <c r="K49" s="1422" t="s">
        <v>824</v>
      </c>
      <c r="L49" s="1426"/>
      <c r="O49" s="1427" t="s">
        <v>405</v>
      </c>
      <c r="P49" s="1418" t="s">
        <v>825</v>
      </c>
      <c r="Q49" s="1419">
        <f ca="1">C29</f>
        <v>608</v>
      </c>
      <c r="R49" s="1419" t="s">
        <v>818</v>
      </c>
    </row>
    <row r="50" spans="1:18" s="1383" customFormat="1" ht="13.5" thickBot="1">
      <c r="A50" s="975"/>
      <c r="B50" s="978"/>
      <c r="C50" s="1117"/>
      <c r="D50" s="952"/>
      <c r="E50" s="1055" t="s">
        <v>697</v>
      </c>
      <c r="F50" s="1056">
        <f ca="1">F7</f>
        <v>930.34999999999991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45</v>
      </c>
      <c r="K51" s="1433" t="s">
        <v>830</v>
      </c>
      <c r="L51" s="1434">
        <f ca="1">ROUND(-PV(INDIRECT("'数据-取费表'!h"&amp;$G$1),J51,(C39-C13*C76),0),0)</f>
        <v>3414</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23</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23</v>
      </c>
      <c r="K53" s="3672" t="s">
        <v>837</v>
      </c>
      <c r="L53" s="3673"/>
      <c r="O53" s="1417" t="s">
        <v>409</v>
      </c>
      <c r="P53" s="1418" t="s">
        <v>838</v>
      </c>
      <c r="Q53" s="1419">
        <f ca="1">Q47+Q48</f>
        <v>3500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456</v>
      </c>
      <c r="D56" s="1446"/>
      <c r="E56" s="1447"/>
      <c r="F56" s="1439"/>
      <c r="I56" s="1448" t="s">
        <v>842</v>
      </c>
      <c r="J56" s="1449" t="s">
        <v>3401</v>
      </c>
      <c r="K56" s="1420" t="s">
        <v>843</v>
      </c>
      <c r="L56" s="1423" t="str">
        <f ca="1">IF(L48&lt;J51,"——",L48-J53)</f>
        <v>——</v>
      </c>
      <c r="O56" s="1417" t="s">
        <v>403</v>
      </c>
      <c r="P56" s="1418" t="s">
        <v>817</v>
      </c>
      <c r="Q56" s="1419">
        <f ca="1">C40+J29</f>
        <v>3454</v>
      </c>
      <c r="R56" s="1419" t="s">
        <v>818</v>
      </c>
    </row>
    <row r="57" spans="1:18" s="1383" customFormat="1" ht="24.75" thickBot="1">
      <c r="A57" s="1450"/>
      <c r="B57" s="949" t="s">
        <v>767</v>
      </c>
      <c r="C57" s="238">
        <f ca="1">C29</f>
        <v>608</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243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46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24</v>
      </c>
      <c r="I62" s="1461" t="s">
        <v>858</v>
      </c>
      <c r="J62" s="1462" t="s">
        <v>859</v>
      </c>
      <c r="K62" s="1462" t="s">
        <v>860</v>
      </c>
      <c r="L62" s="1462" t="s">
        <v>861</v>
      </c>
      <c r="M62" s="1463" t="s">
        <v>862</v>
      </c>
      <c r="O62" s="1417" t="s">
        <v>409</v>
      </c>
      <c r="P62" s="1418" t="s">
        <v>863</v>
      </c>
      <c r="Q62" s="1419">
        <f ca="1">Q56+Q57</f>
        <v>3454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3.04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0.46</v>
      </c>
      <c r="D65" s="963" t="s">
        <v>743</v>
      </c>
      <c r="E65" s="949" t="s">
        <v>744</v>
      </c>
      <c r="F65" s="330">
        <f t="shared" ca="1" si="0"/>
        <v>1E-3</v>
      </c>
      <c r="I65" s="1461" t="s">
        <v>867</v>
      </c>
      <c r="J65" s="1462">
        <v>40</v>
      </c>
      <c r="K65" s="1462">
        <v>30</v>
      </c>
      <c r="L65" s="1462">
        <v>50</v>
      </c>
      <c r="M65" s="1464">
        <v>0.02</v>
      </c>
      <c r="O65" s="1417" t="s">
        <v>403</v>
      </c>
      <c r="P65" s="1418" t="s">
        <v>868</v>
      </c>
      <c r="Q65" s="1419">
        <f ca="1">C40+J29</f>
        <v>3454</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v>
      </c>
      <c r="D67" s="962" t="s">
        <v>753</v>
      </c>
      <c r="E67" s="967"/>
      <c r="F67" s="968"/>
      <c r="O67" s="1427" t="s">
        <v>405</v>
      </c>
      <c r="P67" s="1418" t="s">
        <v>850</v>
      </c>
      <c r="Q67" s="1465">
        <f ca="1">L51</f>
        <v>3414</v>
      </c>
      <c r="R67" s="1419" t="s">
        <v>870</v>
      </c>
    </row>
    <row r="68" spans="1:18" s="1383" customFormat="1" ht="16.5" thickBot="1">
      <c r="A68" s="946" t="s">
        <v>395</v>
      </c>
      <c r="B68" s="947" t="s">
        <v>774</v>
      </c>
      <c r="C68" s="301">
        <f ca="1">ROUND(C67*(1-((1+F70)/(1+F68))^F69)/(F68-F70),0)</f>
        <v>-52</v>
      </c>
      <c r="D68" s="964" t="s">
        <v>758</v>
      </c>
      <c r="E68" s="949" t="s">
        <v>759</v>
      </c>
      <c r="F68" s="312">
        <f ca="1">F40</f>
        <v>5.5E-2</v>
      </c>
      <c r="O68" s="1427" t="s">
        <v>406</v>
      </c>
      <c r="P68" s="1466" t="s">
        <v>871</v>
      </c>
      <c r="Q68" s="1419">
        <f ca="1">ROUND(Q69-Q70*Q71,0)</f>
        <v>192</v>
      </c>
      <c r="R68" s="1419" t="s">
        <v>414</v>
      </c>
    </row>
    <row r="69" spans="1:18" s="1383" customFormat="1" ht="13.5" thickBot="1">
      <c r="A69" s="950"/>
      <c r="B69" s="951"/>
      <c r="C69" s="306"/>
      <c r="D69" s="969" t="s">
        <v>762</v>
      </c>
      <c r="E69" s="949" t="s">
        <v>763</v>
      </c>
      <c r="F69" s="333">
        <f ca="1">F41</f>
        <v>23</v>
      </c>
      <c r="O69" s="1427" t="s">
        <v>411</v>
      </c>
      <c r="P69" s="1466" t="s">
        <v>872</v>
      </c>
      <c r="Q69" s="1419">
        <f ca="1">C39</f>
        <v>224</v>
      </c>
      <c r="R69" s="1419" t="s">
        <v>818</v>
      </c>
    </row>
    <row r="70" spans="1:18" s="1383" customFormat="1" ht="13.5" thickBot="1">
      <c r="A70" s="953"/>
      <c r="B70" s="954"/>
      <c r="C70" s="310"/>
      <c r="D70" s="965"/>
      <c r="E70" s="949" t="s">
        <v>766</v>
      </c>
      <c r="F70" s="1053"/>
      <c r="O70" s="1427" t="s">
        <v>412</v>
      </c>
      <c r="P70" s="1466" t="s">
        <v>873</v>
      </c>
      <c r="Q70" s="1419">
        <f ca="1">C13</f>
        <v>456</v>
      </c>
      <c r="R70" s="1419" t="s">
        <v>818</v>
      </c>
    </row>
    <row r="71" spans="1:18" s="1383" customFormat="1" ht="13.5" thickBot="1">
      <c r="A71" s="970" t="s">
        <v>396</v>
      </c>
      <c r="B71" s="971" t="s">
        <v>776</v>
      </c>
      <c r="C71" s="336">
        <f ca="1">ROUND(C68*10000/F71,0)</f>
        <v>-559</v>
      </c>
      <c r="D71" s="972" t="s">
        <v>777</v>
      </c>
      <c r="E71" s="973" t="s">
        <v>778</v>
      </c>
      <c r="F71" s="339">
        <f ca="1">F43</f>
        <v>930.34999999999991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32</v>
      </c>
      <c r="D75" s="1383"/>
      <c r="E75" s="1383"/>
      <c r="F75" s="1383"/>
      <c r="K75" s="1401"/>
      <c r="L75" s="1383"/>
      <c r="O75" s="1417" t="s">
        <v>409</v>
      </c>
      <c r="P75" s="1418" t="s">
        <v>838</v>
      </c>
      <c r="Q75" s="1419">
        <f ca="1">Q65+Q66</f>
        <v>3454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0.85699999999999998</v>
      </c>
    </row>
    <row r="80" spans="1:18">
      <c r="B80" s="340" t="s">
        <v>800</v>
      </c>
      <c r="C80" s="274">
        <f ca="1">ROUND(C75/C39,3)</f>
        <v>0.14299999999999999</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3395</v>
      </c>
      <c r="D1" s="1361" t="s">
        <v>43</v>
      </c>
      <c r="E1" s="1362" t="s">
        <v>678</v>
      </c>
      <c r="F1" s="1061">
        <f ca="1">J53</f>
        <v>23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3505.3507</v>
      </c>
      <c r="C2" s="1386" t="s">
        <v>879</v>
      </c>
      <c r="D2" s="1470">
        <f ca="1">C40+J29+L46</f>
        <v>35053507</v>
      </c>
      <c r="E2" s="1387" t="s">
        <v>880</v>
      </c>
      <c r="F2" s="1388"/>
      <c r="G2" s="2705"/>
      <c r="H2" s="2694"/>
      <c r="I2" s="2694"/>
      <c r="J2" s="2694"/>
      <c r="K2" s="2695"/>
      <c r="L2" s="2694"/>
      <c r="M2" s="2694"/>
    </row>
    <row r="3" spans="1:37" ht="18" customHeight="1" thickBot="1">
      <c r="A3" s="1389" t="s">
        <v>881</v>
      </c>
      <c r="B3" s="1390">
        <f ca="1">IF(ISERROR(D2/F43),0,ROUND(D2/F43,0))</f>
        <v>37678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2601017</v>
      </c>
      <c r="D5" s="1363" t="s">
        <v>889</v>
      </c>
      <c r="E5" s="1070"/>
      <c r="F5" s="1071"/>
      <c r="G5" s="1383"/>
      <c r="H5" s="299">
        <v>1</v>
      </c>
      <c r="I5" s="300" t="s">
        <v>888</v>
      </c>
      <c r="J5" s="1069">
        <f ca="1">J6+J10+J12</f>
        <v>0</v>
      </c>
      <c r="K5" s="1363" t="s">
        <v>889</v>
      </c>
      <c r="L5" s="1070"/>
      <c r="M5" s="1071"/>
    </row>
    <row r="6" spans="1:37" ht="18" customHeight="1">
      <c r="A6" s="1068" t="s">
        <v>398</v>
      </c>
      <c r="B6" s="3674" t="s">
        <v>694</v>
      </c>
      <c r="C6" s="1073">
        <f ca="1">ROUND(F6*F8*F7*(1-F9),0)</f>
        <v>2597770</v>
      </c>
      <c r="D6" s="155" t="s">
        <v>2105</v>
      </c>
      <c r="E6" s="302" t="s">
        <v>696</v>
      </c>
      <c r="F6" s="303">
        <f ca="1">INDIRECT("'数据-取费表'!u"&amp;$G$1)</f>
        <v>8.5</v>
      </c>
      <c r="G6" s="1383"/>
      <c r="H6" s="1068" t="s">
        <v>398</v>
      </c>
      <c r="I6" s="3674" t="s">
        <v>694</v>
      </c>
      <c r="J6" s="301">
        <f ca="1">ROUND(M6*M8*M7*(1-M9),0)</f>
        <v>0</v>
      </c>
      <c r="K6" s="1375" t="s">
        <v>2106</v>
      </c>
      <c r="L6" s="302" t="s">
        <v>696</v>
      </c>
      <c r="M6" s="303">
        <f ca="1">INDIRECT("'数据-取费表'!z"&amp;$G$1)</f>
        <v>0</v>
      </c>
    </row>
    <row r="7" spans="1:37" ht="18" customHeight="1">
      <c r="A7" s="1072"/>
      <c r="B7" s="3675"/>
      <c r="C7" s="1074"/>
      <c r="D7" s="307"/>
      <c r="E7" s="1075" t="s">
        <v>697</v>
      </c>
      <c r="F7" s="303">
        <f ca="1">IF(INDIRECT("'数据-取费表'!ah"&amp;$G$1)="",INDIRECT("'数据-取费表'!k"&amp;$G$1),INDIRECT("'数据-取费表'!ah"&amp;$G$1))</f>
        <v>930.34999999999991</v>
      </c>
      <c r="G7" s="1383"/>
      <c r="H7" s="304"/>
      <c r="I7" s="3675"/>
      <c r="J7" s="306"/>
      <c r="K7" s="307"/>
      <c r="L7" s="302" t="s">
        <v>697</v>
      </c>
      <c r="M7" s="303">
        <f ca="1">F7</f>
        <v>930.34999999999991</v>
      </c>
    </row>
    <row r="8" spans="1:37" ht="18" customHeight="1">
      <c r="A8" s="304"/>
      <c r="B8" s="3675"/>
      <c r="C8" s="306"/>
      <c r="D8" s="307"/>
      <c r="E8" s="302" t="s">
        <v>698</v>
      </c>
      <c r="F8" s="303">
        <f ca="1">INDIRECT("'数据-取费表'!ai"&amp;$G$1)</f>
        <v>365</v>
      </c>
      <c r="G8" s="1383"/>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3"/>
      <c r="H9" s="304"/>
      <c r="I9" s="3676"/>
      <c r="J9" s="306"/>
      <c r="K9" s="307"/>
      <c r="L9" s="313" t="s">
        <v>699</v>
      </c>
      <c r="M9" s="314">
        <f ca="1">INDIRECT("'数据-取费表'!ab"&amp;$G$1)</f>
        <v>0</v>
      </c>
    </row>
    <row r="10" spans="1:37" ht="18" customHeight="1">
      <c r="A10" s="1068" t="s">
        <v>402</v>
      </c>
      <c r="B10" s="1364" t="s">
        <v>700</v>
      </c>
      <c r="C10" s="316">
        <f ca="1">ROUND(IF(F10="押一",C6/12*F11,IF(F10="押二",C6/12*2*F11,IF(F10="押三",C6/12*3*F11,C11*F11))),0)</f>
        <v>3247</v>
      </c>
      <c r="D10" s="1365" t="s">
        <v>2115</v>
      </c>
      <c r="E10" s="313" t="s">
        <v>701</v>
      </c>
      <c r="F10" s="1115" t="s">
        <v>3398</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4550271</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3721400</v>
      </c>
      <c r="D14" s="1344" t="s">
        <v>708</v>
      </c>
      <c r="E14" s="1341"/>
      <c r="F14" s="319"/>
      <c r="G14" s="1383"/>
      <c r="H14" s="981" t="s">
        <v>398</v>
      </c>
      <c r="I14" s="302" t="s">
        <v>709</v>
      </c>
      <c r="J14" s="21">
        <f ca="1">C29</f>
        <v>6067028</v>
      </c>
      <c r="K14" s="12"/>
      <c r="L14" s="806"/>
      <c r="M14" s="807"/>
    </row>
    <row r="15" spans="1:37" s="1396" customFormat="1" ht="18" customHeight="1" thickBot="1">
      <c r="A15" s="981" t="s">
        <v>399</v>
      </c>
      <c r="B15" s="302" t="s">
        <v>710</v>
      </c>
      <c r="C15" s="21">
        <f ca="1">ROUND(C14*F15,0)</f>
        <v>186070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30335</v>
      </c>
      <c r="K16" s="1086" t="s">
        <v>715</v>
      </c>
      <c r="L16" s="1087"/>
      <c r="M16" s="1071"/>
    </row>
    <row r="17" spans="1:37" s="1396" customFormat="1" ht="18" customHeight="1">
      <c r="A17" s="981" t="s">
        <v>681</v>
      </c>
      <c r="B17" s="302" t="s">
        <v>716</v>
      </c>
      <c r="C17" s="21">
        <f ca="1">ROUND(F17*(F43+INDIRECT("'数据-取费表'!S"&amp;$G$1)),0)</f>
        <v>186070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74428</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4167968</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125039</v>
      </c>
      <c r="D20" s="323" t="s">
        <v>729</v>
      </c>
      <c r="E20" s="302" t="s">
        <v>712</v>
      </c>
      <c r="F20" s="322">
        <f>'数据-取费表'!B37</f>
        <v>0.03</v>
      </c>
      <c r="G20" s="1395"/>
      <c r="H20" s="981"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30335</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143816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-30335</v>
      </c>
      <c r="K25" s="1094" t="s">
        <v>753</v>
      </c>
      <c r="L25" s="1095"/>
      <c r="M25" s="1096"/>
    </row>
    <row r="26" spans="1:37" ht="18" customHeight="1">
      <c r="A26" s="981" t="s">
        <v>397</v>
      </c>
      <c r="B26" s="302" t="s">
        <v>754</v>
      </c>
      <c r="C26" s="21">
        <f ca="1">ROUND((C19+C20)*F26,0)</f>
        <v>1073252</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6067028</v>
      </c>
      <c r="D29" s="1091"/>
      <c r="E29" s="1089"/>
      <c r="F29" s="1092"/>
      <c r="G29" s="1395"/>
      <c r="H29" s="334" t="s">
        <v>396</v>
      </c>
      <c r="I29" s="335" t="s">
        <v>768</v>
      </c>
      <c r="J29" s="336">
        <f ca="1">ROUND(J26/(1+F40)^F41,0)</f>
        <v>0</v>
      </c>
      <c r="K29" s="337" t="s">
        <v>769</v>
      </c>
      <c r="L29" s="338"/>
      <c r="M29" s="339">
        <f ca="1">INDIRECT("'数据-取费表'!k"&amp;$G$1)</f>
        <v>930.34999999999991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357783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296888</v>
      </c>
      <c r="D31" s="1344" t="s">
        <v>720</v>
      </c>
      <c r="E31" s="1343" t="s">
        <v>770</v>
      </c>
      <c r="F31" s="2314">
        <f ca="1">IF(项目基本情况!B11="企业","——",IF(M47="住宅",IF(F6*F7*F8/12/(1+'数据-取费表'!F30)&gt;100000,4%,2.5%),IF(F6*F7*F8/12/(1+'数据-取费表'!F30)&gt;100000,12%,7%)))</f>
        <v>0.12</v>
      </c>
      <c r="G31" s="1383"/>
      <c r="H31" s="2807" t="s">
        <v>2307</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24</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30335</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4550</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26010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2243234</v>
      </c>
      <c r="D39" s="1094" t="s">
        <v>773</v>
      </c>
      <c r="E39" s="1095"/>
      <c r="F39" s="1096"/>
      <c r="G39" s="1383"/>
      <c r="H39" s="2699"/>
      <c r="I39" s="1397"/>
      <c r="J39" s="1398"/>
      <c r="K39" s="2703"/>
      <c r="L39" s="2699"/>
      <c r="M39" s="2699"/>
    </row>
    <row r="40" spans="1:18" ht="18" customHeight="1">
      <c r="A40" s="299" t="s">
        <v>395</v>
      </c>
      <c r="B40" s="300" t="s">
        <v>774</v>
      </c>
      <c r="C40" s="301">
        <f ca="1">ROUND(C39*(1-((1+F42)/(1+F40))^F41)/(F40-F42),0)</f>
        <v>34593630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37183</v>
      </c>
      <c r="D43" s="337" t="s">
        <v>777</v>
      </c>
      <c r="E43" s="338" t="s">
        <v>778</v>
      </c>
      <c r="F43" s="339">
        <f ca="1">INDIRECT("'数据-取费表'!k"&amp;$G$1)</f>
        <v>930.34999999999991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3352</v>
      </c>
      <c r="B45" s="1399"/>
      <c r="C45" s="1471">
        <f ca="1">ROUND((C68-C40)/10000,4)</f>
        <v>-3504.2775999999999</v>
      </c>
      <c r="D45" s="3430" t="s">
        <v>3353</v>
      </c>
      <c r="E45" s="1399"/>
      <c r="F45" s="1399"/>
      <c r="O45" s="1402" t="s">
        <v>808</v>
      </c>
      <c r="P45" s="1460"/>
      <c r="Q45" s="1460"/>
      <c r="R45" s="1460"/>
    </row>
    <row r="46" spans="1:18" s="1383" customFormat="1" ht="13.5" thickBot="1">
      <c r="A46" s="1403" t="s">
        <v>809</v>
      </c>
      <c r="C46" s="1404">
        <f ca="1">ROUND(C45,0)</f>
        <v>-3504</v>
      </c>
      <c r="D46" s="1405" t="str">
        <f>C2</f>
        <v>万元</v>
      </c>
      <c r="I46" s="1406" t="s">
        <v>810</v>
      </c>
      <c r="J46" s="1407"/>
      <c r="K46" s="1408"/>
      <c r="L46" s="1409">
        <f ca="1">IF(M47="住宅",0,IF(L48&gt;J51,L60,J60))</f>
        <v>459877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3399</v>
      </c>
      <c r="K47" s="1415" t="s">
        <v>816</v>
      </c>
      <c r="L47" s="1416">
        <f ca="1">INDIRECT("'数据-取费表'!d"&amp;$G$1)</f>
        <v>40</v>
      </c>
      <c r="M47" s="1379" t="str">
        <f>IF(ISNUMBER(FIND("住宅",C1)),"住宅","非住宅")</f>
        <v>非住宅</v>
      </c>
      <c r="O47" s="1417" t="s">
        <v>403</v>
      </c>
      <c r="P47" s="1418" t="s">
        <v>817</v>
      </c>
      <c r="Q47" s="1419">
        <f ca="1">C40+J29</f>
        <v>34593630</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23</v>
      </c>
      <c r="O48" s="1417" t="s">
        <v>404</v>
      </c>
      <c r="P48" s="1418" t="s">
        <v>821</v>
      </c>
      <c r="Q48" s="1419">
        <f ca="1">J60</f>
        <v>459877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'数据-取费表'!N19</f>
        <v>2009</v>
      </c>
      <c r="K49" s="1422" t="s">
        <v>824</v>
      </c>
      <c r="L49" s="1426"/>
      <c r="O49" s="1427" t="s">
        <v>405</v>
      </c>
      <c r="P49" s="1418" t="s">
        <v>825</v>
      </c>
      <c r="Q49" s="1419">
        <f ca="1">C29</f>
        <v>6067028</v>
      </c>
      <c r="R49" s="1419" t="s">
        <v>818</v>
      </c>
    </row>
    <row r="50" spans="1:18" s="1383" customFormat="1" ht="13.5" thickBot="1">
      <c r="A50" s="975"/>
      <c r="B50" s="978"/>
      <c r="C50" s="979"/>
      <c r="D50" s="952"/>
      <c r="E50" s="1055" t="s">
        <v>697</v>
      </c>
      <c r="F50" s="1056">
        <f ca="1">F7</f>
        <v>930.34999999999991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45</v>
      </c>
      <c r="K51" s="1433" t="s">
        <v>830</v>
      </c>
      <c r="L51" s="1434">
        <f ca="1">ROUND(-PV(INDIRECT("'数据-取费表'!h"&amp;$G$1),J51,(C39-C13*C76),0),0)</f>
        <v>34210019</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23</v>
      </c>
      <c r="K53" s="3672" t="s">
        <v>837</v>
      </c>
      <c r="L53" s="3673"/>
      <c r="O53" s="1417" t="s">
        <v>409</v>
      </c>
      <c r="P53" s="1418" t="s">
        <v>838</v>
      </c>
      <c r="Q53" s="1419">
        <f ca="1">Q47+Q48</f>
        <v>35053507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4550271</v>
      </c>
      <c r="D56" s="1446"/>
      <c r="E56" s="1447"/>
      <c r="F56" s="1439"/>
      <c r="I56" s="1448" t="s">
        <v>842</v>
      </c>
      <c r="J56" s="1449" t="s">
        <v>3401</v>
      </c>
      <c r="K56" s="1420" t="s">
        <v>843</v>
      </c>
      <c r="L56" s="1423" t="str">
        <f ca="1">IF(L48&lt;J51,"——",L48-J51)</f>
        <v>——</v>
      </c>
      <c r="O56" s="1417" t="s">
        <v>403</v>
      </c>
      <c r="P56" s="1418" t="s">
        <v>817</v>
      </c>
      <c r="Q56" s="1419">
        <f ca="1">C40+J29</f>
        <v>34593630</v>
      </c>
      <c r="R56" s="1419" t="s">
        <v>818</v>
      </c>
    </row>
    <row r="57" spans="1:18" s="1383" customFormat="1" ht="24.75" thickBot="1">
      <c r="A57" s="1450"/>
      <c r="B57" s="949" t="s">
        <v>767</v>
      </c>
      <c r="C57" s="238">
        <f ca="1">C29</f>
        <v>6067028</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34885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2426811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459877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24</v>
      </c>
      <c r="I62" s="1461" t="s">
        <v>858</v>
      </c>
      <c r="J62" s="1462" t="s">
        <v>859</v>
      </c>
      <c r="K62" s="1462" t="s">
        <v>860</v>
      </c>
      <c r="L62" s="1462" t="s">
        <v>861</v>
      </c>
      <c r="M62" s="1463" t="s">
        <v>862</v>
      </c>
      <c r="O62" s="1417" t="s">
        <v>409</v>
      </c>
      <c r="P62" s="1418" t="s">
        <v>863</v>
      </c>
      <c r="Q62" s="1419">
        <f ca="1">Q56+Q57</f>
        <v>34593630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30335</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4550</v>
      </c>
      <c r="D65" s="963" t="s">
        <v>743</v>
      </c>
      <c r="E65" s="949" t="s">
        <v>744</v>
      </c>
      <c r="F65" s="330">
        <f t="shared" ca="1" si="0"/>
        <v>1E-3</v>
      </c>
      <c r="I65" s="1461" t="s">
        <v>867</v>
      </c>
      <c r="J65" s="1462">
        <v>40</v>
      </c>
      <c r="K65" s="1462">
        <v>30</v>
      </c>
      <c r="L65" s="1462">
        <v>50</v>
      </c>
      <c r="M65" s="1464">
        <v>0.02</v>
      </c>
      <c r="O65" s="1417" t="s">
        <v>403</v>
      </c>
      <c r="P65" s="1418" t="s">
        <v>868</v>
      </c>
      <c r="Q65" s="1419">
        <f ca="1">C40+J29</f>
        <v>34593630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-34885</v>
      </c>
      <c r="D67" s="962" t="s">
        <v>753</v>
      </c>
      <c r="E67" s="967"/>
      <c r="F67" s="968"/>
      <c r="O67" s="1427" t="s">
        <v>405</v>
      </c>
      <c r="P67" s="1418" t="s">
        <v>850</v>
      </c>
      <c r="Q67" s="1465">
        <f ca="1">L51</f>
        <v>34210019</v>
      </c>
      <c r="R67" s="1419" t="s">
        <v>870</v>
      </c>
    </row>
    <row r="68" spans="1:18" s="1383" customFormat="1" ht="16.5" thickBot="1">
      <c r="A68" s="946" t="s">
        <v>395</v>
      </c>
      <c r="B68" s="947" t="s">
        <v>774</v>
      </c>
      <c r="C68" s="301">
        <f ca="1">ROUND(C67*(1-((1+F70)/(1+F68))^F69)/(F68-F70),0)</f>
        <v>-449146</v>
      </c>
      <c r="D68" s="964" t="s">
        <v>758</v>
      </c>
      <c r="E68" s="949" t="s">
        <v>759</v>
      </c>
      <c r="F68" s="312">
        <f ca="1">F40</f>
        <v>5.5E-2</v>
      </c>
      <c r="O68" s="1427" t="s">
        <v>406</v>
      </c>
      <c r="P68" s="1466" t="s">
        <v>871</v>
      </c>
      <c r="Q68" s="1419">
        <f ca="1">ROUND(Q69-Q70*Q71,0)</f>
        <v>1924715</v>
      </c>
      <c r="R68" s="1419" t="s">
        <v>414</v>
      </c>
    </row>
    <row r="69" spans="1:18" s="1383" customFormat="1" ht="13.5" thickBot="1">
      <c r="A69" s="950"/>
      <c r="B69" s="951"/>
      <c r="C69" s="306"/>
      <c r="D69" s="969" t="s">
        <v>762</v>
      </c>
      <c r="E69" s="949" t="s">
        <v>763</v>
      </c>
      <c r="F69" s="333">
        <f ca="1">F41</f>
        <v>23</v>
      </c>
      <c r="O69" s="1427" t="s">
        <v>411</v>
      </c>
      <c r="P69" s="1466" t="s">
        <v>872</v>
      </c>
      <c r="Q69" s="1419">
        <f ca="1">C39</f>
        <v>2243234</v>
      </c>
      <c r="R69" s="1419" t="s">
        <v>818</v>
      </c>
    </row>
    <row r="70" spans="1:18" s="1383" customFormat="1" ht="13.5" thickBot="1">
      <c r="A70" s="953"/>
      <c r="B70" s="954"/>
      <c r="C70" s="310"/>
      <c r="D70" s="965"/>
      <c r="E70" s="949" t="s">
        <v>766</v>
      </c>
      <c r="F70" s="1053"/>
      <c r="O70" s="1427" t="s">
        <v>412</v>
      </c>
      <c r="P70" s="1466" t="s">
        <v>873</v>
      </c>
      <c r="Q70" s="1419">
        <f ca="1">C13</f>
        <v>4550271</v>
      </c>
      <c r="R70" s="1419" t="s">
        <v>818</v>
      </c>
    </row>
    <row r="71" spans="1:18" s="1383" customFormat="1" ht="13.5" thickBot="1">
      <c r="A71" s="970" t="s">
        <v>396</v>
      </c>
      <c r="B71" s="971" t="s">
        <v>776</v>
      </c>
      <c r="C71" s="336">
        <f ca="1">ROUND(C68/F71,0)</f>
        <v>-483</v>
      </c>
      <c r="D71" s="972" t="s">
        <v>777</v>
      </c>
      <c r="E71" s="973" t="s">
        <v>778</v>
      </c>
      <c r="F71" s="339">
        <f ca="1">F43</f>
        <v>930.34999999999991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318519</v>
      </c>
      <c r="D75" s="1383"/>
      <c r="E75" s="1383"/>
      <c r="F75" s="1383"/>
      <c r="K75" s="1401"/>
      <c r="L75" s="1383"/>
      <c r="O75" s="1417" t="s">
        <v>409</v>
      </c>
      <c r="P75" s="1418" t="s">
        <v>838</v>
      </c>
      <c r="Q75" s="1419">
        <f ca="1">Q65+Q66</f>
        <v>34593630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0.85799999999999998</v>
      </c>
    </row>
    <row r="80" spans="1:18">
      <c r="B80" s="340" t="s">
        <v>800</v>
      </c>
      <c r="C80" s="274">
        <f ca="1">ROUND(C75/C39,3)</f>
        <v>0.14199999999999999</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1" t="s">
        <v>3359</v>
      </c>
      <c r="E2" s="3442"/>
      <c r="F2" s="2845"/>
      <c r="G2" s="2846"/>
      <c r="H2" s="2847"/>
      <c r="I2" s="2848"/>
      <c r="J2" s="3683" t="s">
        <v>2318</v>
      </c>
      <c r="K2" s="3684"/>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85" t="s">
        <v>2328</v>
      </c>
      <c r="K3" s="3686"/>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85" t="s">
        <v>2330</v>
      </c>
      <c r="K4" s="3686"/>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91" t="s">
        <v>2334</v>
      </c>
      <c r="B6" s="3692"/>
      <c r="C6" s="3693"/>
      <c r="D6" s="2869"/>
      <c r="E6" s="2870"/>
      <c r="F6" s="2871"/>
      <c r="G6" s="2872"/>
      <c r="H6" s="2847"/>
      <c r="I6" s="2848"/>
      <c r="J6" s="3677">
        <v>1</v>
      </c>
      <c r="K6" s="3678"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77"/>
      <c r="K7" s="3679"/>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94" t="s">
        <v>2348</v>
      </c>
      <c r="C8" s="3695"/>
      <c r="D8" s="2888" t="s">
        <v>2349</v>
      </c>
      <c r="E8" s="2889" t="s">
        <v>2350</v>
      </c>
      <c r="F8" s="2890" t="s">
        <v>2351</v>
      </c>
      <c r="G8" s="2891"/>
      <c r="H8" s="2847"/>
      <c r="I8" s="2848"/>
      <c r="J8" s="3677"/>
      <c r="K8" s="3679"/>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94" t="s">
        <v>2354</v>
      </c>
      <c r="C9" s="3695"/>
      <c r="D9" s="2888">
        <f>ROUND(D6*E9,0)</f>
        <v>0</v>
      </c>
      <c r="E9" s="2892"/>
      <c r="F9" s="2893" t="s">
        <v>2355</v>
      </c>
      <c r="G9" s="2872"/>
      <c r="H9" s="2847"/>
      <c r="I9" s="2848"/>
      <c r="J9" s="3677"/>
      <c r="K9" s="3679"/>
      <c r="L9" s="2882" t="s">
        <v>2356</v>
      </c>
      <c r="M9" s="2883"/>
      <c r="N9" s="2859"/>
      <c r="O9" s="2884"/>
      <c r="P9" s="2884"/>
      <c r="Q9" s="2885">
        <v>365</v>
      </c>
      <c r="R9" s="2886">
        <f t="shared" si="0"/>
        <v>0</v>
      </c>
      <c r="S9" s="2840"/>
      <c r="T9" s="2840"/>
      <c r="U9" s="2840"/>
      <c r="V9" s="2848"/>
    </row>
    <row r="10" spans="1:22" s="2852" customFormat="1" ht="13.15" customHeight="1">
      <c r="A10" s="2887">
        <v>2</v>
      </c>
      <c r="B10" s="3694" t="s">
        <v>2357</v>
      </c>
      <c r="C10" s="3695"/>
      <c r="D10" s="2888">
        <f>ROUND(D6*E10,0)</f>
        <v>0</v>
      </c>
      <c r="E10" s="2892"/>
      <c r="F10" s="2893" t="s">
        <v>2358</v>
      </c>
      <c r="G10" s="2872"/>
      <c r="H10" s="2847"/>
      <c r="I10" s="2848"/>
      <c r="J10" s="3677"/>
      <c r="K10" s="3679"/>
      <c r="L10" s="2882" t="s">
        <v>2359</v>
      </c>
      <c r="M10" s="2883"/>
      <c r="N10" s="2859"/>
      <c r="O10" s="2884"/>
      <c r="P10" s="2884"/>
      <c r="Q10" s="2885">
        <v>365</v>
      </c>
      <c r="R10" s="2886">
        <f t="shared" si="0"/>
        <v>0</v>
      </c>
      <c r="S10" s="2840"/>
      <c r="T10" s="2840"/>
      <c r="U10" s="2840"/>
      <c r="V10" s="2848"/>
    </row>
    <row r="11" spans="1:22" s="2852" customFormat="1" ht="13.15" customHeight="1">
      <c r="A11" s="2887">
        <v>3</v>
      </c>
      <c r="B11" s="3694" t="s">
        <v>2360</v>
      </c>
      <c r="C11" s="3695"/>
      <c r="D11" s="2888">
        <f>D12+D14+D15+D16</f>
        <v>0</v>
      </c>
      <c r="E11" s="2894" t="e">
        <f>D11/D6</f>
        <v>#DIV/0!</v>
      </c>
      <c r="F11" s="2890"/>
      <c r="G11" s="2891"/>
      <c r="H11" s="2847"/>
      <c r="I11" s="2848"/>
      <c r="J11" s="3677"/>
      <c r="K11" s="3679"/>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87" t="s">
        <v>2363</v>
      </c>
      <c r="C12" s="3688"/>
      <c r="D12" s="2896">
        <f>ROUND(D13*1.2%*(1-30%),0)</f>
        <v>0</v>
      </c>
      <c r="E12" s="2897">
        <v>1.2E-2</v>
      </c>
      <c r="F12" s="2890" t="s">
        <v>2364</v>
      </c>
      <c r="G12" s="2891"/>
      <c r="H12" s="2847"/>
      <c r="I12" s="2848"/>
      <c r="J12" s="3677"/>
      <c r="K12" s="3679"/>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77"/>
      <c r="K13" s="3679"/>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87" t="s">
        <v>2369</v>
      </c>
      <c r="C14" s="3688"/>
      <c r="D14" s="2896">
        <f>ROUND(E14*B5/10000,0)</f>
        <v>0</v>
      </c>
      <c r="E14" s="2885"/>
      <c r="F14" s="2890" t="s">
        <v>2370</v>
      </c>
      <c r="G14" s="2891"/>
      <c r="H14" s="2847"/>
      <c r="I14" s="2848"/>
      <c r="J14" s="3677"/>
      <c r="K14" s="3680"/>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87" t="s">
        <v>2373</v>
      </c>
      <c r="C15" s="3688"/>
      <c r="D15" s="2896">
        <f>ROUND(D6*E15,0)</f>
        <v>0</v>
      </c>
      <c r="E15" s="2897">
        <v>5.5E-2</v>
      </c>
      <c r="F15" s="2890" t="s">
        <v>2374</v>
      </c>
      <c r="G15" s="2872"/>
      <c r="H15" s="2847"/>
      <c r="I15" s="2848"/>
      <c r="J15" s="3677">
        <v>2</v>
      </c>
      <c r="K15" s="3678"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87" t="s">
        <v>2382</v>
      </c>
      <c r="C16" s="3688"/>
      <c r="D16" s="2907">
        <f>D6*E16</f>
        <v>0</v>
      </c>
      <c r="E16" s="2908"/>
      <c r="F16" s="2893" t="s">
        <v>2383</v>
      </c>
      <c r="G16" s="2872"/>
      <c r="H16" s="2847"/>
      <c r="I16" s="2848"/>
      <c r="J16" s="3677"/>
      <c r="K16" s="3679"/>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89" t="s">
        <v>2385</v>
      </c>
      <c r="C17" s="3690"/>
      <c r="D17" s="2910">
        <f>ROUND(D6*E17,0)</f>
        <v>0</v>
      </c>
      <c r="E17" s="2911"/>
      <c r="F17" s="2912" t="s">
        <v>2386</v>
      </c>
      <c r="G17" s="2872"/>
      <c r="H17" s="2847"/>
      <c r="I17" s="2848"/>
      <c r="J17" s="3677"/>
      <c r="K17" s="3679"/>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77"/>
      <c r="K18" s="3679"/>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77"/>
      <c r="K19" s="3680"/>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7">
        <v>3</v>
      </c>
      <c r="K20" s="3678"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77"/>
      <c r="K21" s="3679"/>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77"/>
      <c r="K22" s="3679"/>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77"/>
      <c r="K23" s="3679"/>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77"/>
      <c r="K24" s="3680"/>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81">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8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83" t="s">
        <v>2318</v>
      </c>
      <c r="K32" s="3684"/>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85" t="s">
        <v>2328</v>
      </c>
      <c r="K33" s="3686"/>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85" t="s">
        <v>2330</v>
      </c>
      <c r="K34" s="368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77">
        <v>1</v>
      </c>
      <c r="K36" s="3678"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77"/>
      <c r="K37" s="3679"/>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7"/>
      <c r="K38" s="3679"/>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77"/>
      <c r="K39" s="3679"/>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77"/>
      <c r="K40" s="3680"/>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1">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8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3500</v>
      </c>
      <c r="C2" s="1871" t="s">
        <v>1651</v>
      </c>
      <c r="D2" s="1872" t="s">
        <v>1652</v>
      </c>
      <c r="E2" s="2606">
        <f>SUM(E6:E13)</f>
        <v>930.34999999999991</v>
      </c>
      <c r="F2" s="2706"/>
      <c r="G2" s="1488"/>
      <c r="H2" s="1488"/>
      <c r="I2" s="1488"/>
      <c r="J2" s="1488"/>
      <c r="K2" s="1488"/>
      <c r="L2" s="1488"/>
      <c r="M2" s="1488"/>
      <c r="N2" s="1488"/>
      <c r="O2" s="1488"/>
      <c r="P2" s="1488"/>
      <c r="Q2" s="1488"/>
      <c r="R2" s="1488"/>
      <c r="S2" s="1488"/>
    </row>
    <row r="3" spans="1:22" ht="15.75">
      <c r="A3" s="1869" t="s">
        <v>686</v>
      </c>
      <c r="B3" s="2600">
        <f ca="1">ROUND(B2*10000/E2,0)</f>
        <v>37620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6" t="s">
        <v>1654</v>
      </c>
      <c r="C5" s="369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3500</v>
      </c>
      <c r="C6" s="1871" t="s">
        <v>1651</v>
      </c>
      <c r="D6" s="2708"/>
      <c r="E6" s="2605">
        <f>IF(OR(A6=0,F6="否"),0,'数据-取费表'!K6+'数据-取费表'!S6)</f>
        <v>930.34999999999991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930.34999999999991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16" t="s">
        <v>1667</v>
      </c>
      <c r="D4" s="3717"/>
      <c r="E4" s="3718" t="s">
        <v>1668</v>
      </c>
      <c r="F4" s="3719"/>
      <c r="G4" s="3716" t="s">
        <v>1669</v>
      </c>
      <c r="H4" s="3717"/>
      <c r="I4" s="3716" t="s">
        <v>1670</v>
      </c>
      <c r="J4" s="3717"/>
      <c r="K4" s="1888" t="s">
        <v>1671</v>
      </c>
      <c r="L4" s="2714"/>
      <c r="M4" s="2715"/>
      <c r="N4" s="2715"/>
      <c r="O4" s="2715"/>
      <c r="P4" s="3720" t="s">
        <v>1672</v>
      </c>
      <c r="Q4" s="3721"/>
      <c r="R4" s="3726" t="s">
        <v>1668</v>
      </c>
      <c r="S4" s="3727"/>
      <c r="T4" s="3726" t="s">
        <v>1669</v>
      </c>
      <c r="U4" s="3727"/>
      <c r="V4" s="3732" t="s">
        <v>1670</v>
      </c>
      <c r="W4" s="3732"/>
      <c r="X4" s="1354"/>
      <c r="Y4" s="3726" t="s">
        <v>1672</v>
      </c>
      <c r="Z4" s="3727"/>
      <c r="AA4" s="3713" t="s">
        <v>1668</v>
      </c>
      <c r="AB4" s="3713" t="s">
        <v>1669</v>
      </c>
      <c r="AC4" s="3713" t="s">
        <v>1670</v>
      </c>
    </row>
    <row r="5" spans="1:29" ht="15">
      <c r="A5" s="358"/>
      <c r="B5" s="359"/>
      <c r="C5" s="3735" t="s">
        <v>1673</v>
      </c>
      <c r="D5" s="3736"/>
      <c r="E5" s="3742" t="s">
        <v>1674</v>
      </c>
      <c r="F5" s="3743"/>
      <c r="G5" s="3735" t="s">
        <v>1675</v>
      </c>
      <c r="H5" s="3736"/>
      <c r="I5" s="3735" t="s">
        <v>1676</v>
      </c>
      <c r="J5" s="3736"/>
      <c r="K5" s="1889"/>
      <c r="L5" s="2714"/>
      <c r="M5" s="2715"/>
      <c r="N5" s="2715"/>
      <c r="O5" s="2715"/>
      <c r="P5" s="3722"/>
      <c r="Q5" s="3723"/>
      <c r="R5" s="3728"/>
      <c r="S5" s="3729"/>
      <c r="T5" s="3728"/>
      <c r="U5" s="3729"/>
      <c r="V5" s="3732"/>
      <c r="W5" s="3732"/>
      <c r="X5" s="1354"/>
      <c r="Y5" s="3728"/>
      <c r="Z5" s="3729"/>
      <c r="AA5" s="3714"/>
      <c r="AB5" s="3714"/>
      <c r="AC5" s="3714"/>
    </row>
    <row r="6" spans="1:29" ht="15.75" thickBot="1">
      <c r="A6" s="360"/>
      <c r="B6" s="361"/>
      <c r="C6" s="3733" t="s">
        <v>1677</v>
      </c>
      <c r="D6" s="3734"/>
      <c r="E6" s="3740" t="s">
        <v>1677</v>
      </c>
      <c r="F6" s="3741"/>
      <c r="G6" s="3733" t="s">
        <v>1677</v>
      </c>
      <c r="H6" s="3734"/>
      <c r="I6" s="3733" t="s">
        <v>1677</v>
      </c>
      <c r="J6" s="3734"/>
      <c r="K6" s="1889" t="s">
        <v>1678</v>
      </c>
      <c r="L6" s="2714"/>
      <c r="M6" s="2715"/>
      <c r="N6" s="2715"/>
      <c r="O6" s="2715"/>
      <c r="P6" s="3724"/>
      <c r="Q6" s="3725"/>
      <c r="R6" s="3728"/>
      <c r="S6" s="3729"/>
      <c r="T6" s="3730"/>
      <c r="U6" s="3731"/>
      <c r="V6" s="3732"/>
      <c r="W6" s="3732"/>
      <c r="X6" s="1354"/>
      <c r="Y6" s="3730"/>
      <c r="Z6" s="3731"/>
      <c r="AA6" s="3715"/>
      <c r="AB6" s="3715"/>
      <c r="AC6" s="3715"/>
    </row>
    <row r="7" spans="1:29" s="108" customFormat="1" ht="15.75" thickBot="1">
      <c r="A7" s="362" t="s">
        <v>1679</v>
      </c>
      <c r="B7" s="363"/>
      <c r="C7" s="364">
        <f>'数据-取费表'!B2</f>
        <v>45554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37" t="s">
        <v>1680</v>
      </c>
      <c r="Q7" s="3739"/>
      <c r="R7" s="700" t="s">
        <v>20</v>
      </c>
      <c r="S7" s="701">
        <f t="shared" ref="S7:S15" si="0">F7</f>
        <v>0</v>
      </c>
      <c r="T7" s="700" t="s">
        <v>20</v>
      </c>
      <c r="U7" s="701">
        <f t="shared" ref="U7:U15" si="1">H7</f>
        <v>0</v>
      </c>
      <c r="V7" s="700" t="s">
        <v>20</v>
      </c>
      <c r="W7" s="701">
        <f t="shared" ref="W7:W15" si="2">J7</f>
        <v>0</v>
      </c>
      <c r="X7" s="702"/>
      <c r="Y7" s="3737" t="s">
        <v>1680</v>
      </c>
      <c r="Z7" s="373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37" t="s">
        <v>1683</v>
      </c>
      <c r="Q8" s="3738"/>
      <c r="R8" s="700" t="s">
        <v>20</v>
      </c>
      <c r="S8" s="701">
        <f t="shared" si="0"/>
        <v>100</v>
      </c>
      <c r="T8" s="700" t="s">
        <v>20</v>
      </c>
      <c r="U8" s="701">
        <f t="shared" si="1"/>
        <v>100</v>
      </c>
      <c r="V8" s="700" t="s">
        <v>20</v>
      </c>
      <c r="W8" s="701">
        <f t="shared" si="2"/>
        <v>100</v>
      </c>
      <c r="X8" s="702"/>
      <c r="Y8" s="3737" t="s">
        <v>1683</v>
      </c>
      <c r="Z8" s="373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2"/>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12"/>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12"/>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12"/>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0" t="s">
        <v>1691</v>
      </c>
      <c r="Q15" s="1351" t="str">
        <f t="shared" si="6"/>
        <v>居住社区成熟度</v>
      </c>
      <c r="R15" s="704" t="s">
        <v>18</v>
      </c>
      <c r="S15" s="705">
        <f t="shared" si="0"/>
        <v>100</v>
      </c>
      <c r="T15" s="704" t="s">
        <v>18</v>
      </c>
      <c r="U15" s="705">
        <f t="shared" si="1"/>
        <v>100</v>
      </c>
      <c r="V15" s="704" t="s">
        <v>18</v>
      </c>
      <c r="W15" s="705">
        <f t="shared" si="2"/>
        <v>100</v>
      </c>
      <c r="X15" s="1354"/>
      <c r="Y15" s="370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1"/>
      <c r="Q16" s="1351"/>
      <c r="R16" s="704"/>
      <c r="S16" s="705"/>
      <c r="T16" s="704"/>
      <c r="U16" s="705"/>
      <c r="V16" s="704"/>
      <c r="W16" s="705"/>
      <c r="X16" s="1354"/>
      <c r="Y16" s="370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1"/>
      <c r="Q17" s="1351" t="str">
        <f>B17</f>
        <v>交通便捷度</v>
      </c>
      <c r="R17" s="704" t="s">
        <v>18</v>
      </c>
      <c r="S17" s="705">
        <f>F17</f>
        <v>100</v>
      </c>
      <c r="T17" s="704" t="s">
        <v>18</v>
      </c>
      <c r="U17" s="705">
        <f>H17</f>
        <v>100</v>
      </c>
      <c r="V17" s="704" t="s">
        <v>18</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1"/>
      <c r="Q18" s="1351"/>
      <c r="R18" s="704"/>
      <c r="S18" s="705"/>
      <c r="T18" s="704"/>
      <c r="U18" s="705"/>
      <c r="V18" s="704"/>
      <c r="W18" s="705"/>
      <c r="X18" s="1354"/>
      <c r="Y18" s="370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1"/>
      <c r="Q19" s="1351" t="str">
        <f>B19</f>
        <v>公共配套设施</v>
      </c>
      <c r="R19" s="704" t="s">
        <v>18</v>
      </c>
      <c r="S19" s="705">
        <f>F19</f>
        <v>100</v>
      </c>
      <c r="T19" s="704" t="s">
        <v>18</v>
      </c>
      <c r="U19" s="705">
        <f>H19</f>
        <v>100</v>
      </c>
      <c r="V19" s="704" t="s">
        <v>18</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1"/>
      <c r="Q20" s="1351"/>
      <c r="R20" s="704"/>
      <c r="S20" s="705"/>
      <c r="T20" s="704"/>
      <c r="U20" s="705"/>
      <c r="V20" s="704"/>
      <c r="W20" s="705"/>
      <c r="X20" s="1354"/>
      <c r="Y20" s="370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1"/>
      <c r="Q22" s="1351"/>
      <c r="R22" s="704"/>
      <c r="S22" s="705"/>
      <c r="T22" s="704"/>
      <c r="U22" s="705"/>
      <c r="V22" s="704"/>
      <c r="W22" s="705"/>
      <c r="X22" s="1354"/>
      <c r="Y22" s="370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1"/>
      <c r="Q23" s="1351" t="str">
        <f>B23</f>
        <v>自然及人文环境</v>
      </c>
      <c r="R23" s="704" t="s">
        <v>18</v>
      </c>
      <c r="S23" s="705">
        <f>F23</f>
        <v>100</v>
      </c>
      <c r="T23" s="704" t="s">
        <v>18</v>
      </c>
      <c r="U23" s="705">
        <f>H23</f>
        <v>100</v>
      </c>
      <c r="V23" s="704" t="s">
        <v>18</v>
      </c>
      <c r="W23" s="705">
        <f>J23</f>
        <v>100</v>
      </c>
      <c r="X23" s="1354"/>
      <c r="Y23" s="370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1"/>
      <c r="Q24" s="1351"/>
      <c r="R24" s="704"/>
      <c r="S24" s="705"/>
      <c r="T24" s="704"/>
      <c r="U24" s="705"/>
      <c r="V24" s="704"/>
      <c r="W24" s="705"/>
      <c r="X24" s="1354"/>
      <c r="Y24" s="370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1"/>
      <c r="Q26" s="1351" t="str">
        <f t="shared" si="11"/>
        <v>朝向</v>
      </c>
      <c r="R26" s="704" t="s">
        <v>18</v>
      </c>
      <c r="S26" s="705">
        <f t="shared" si="12"/>
        <v>100</v>
      </c>
      <c r="T26" s="704" t="s">
        <v>18</v>
      </c>
      <c r="U26" s="705">
        <f t="shared" si="13"/>
        <v>100</v>
      </c>
      <c r="V26" s="704" t="s">
        <v>18</v>
      </c>
      <c r="W26" s="705">
        <f t="shared" si="14"/>
        <v>100</v>
      </c>
      <c r="X26" s="1354"/>
      <c r="Y26" s="370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1"/>
      <c r="Q27" s="1342">
        <f t="shared" si="11"/>
        <v>111</v>
      </c>
      <c r="R27" s="700" t="s">
        <v>18</v>
      </c>
      <c r="S27" s="701">
        <f t="shared" si="12"/>
        <v>100</v>
      </c>
      <c r="T27" s="700" t="s">
        <v>18</v>
      </c>
      <c r="U27" s="701">
        <f t="shared" si="13"/>
        <v>100</v>
      </c>
      <c r="V27" s="700" t="s">
        <v>18</v>
      </c>
      <c r="W27" s="701">
        <f t="shared" si="14"/>
        <v>100</v>
      </c>
      <c r="X27" s="702"/>
      <c r="Y27" s="370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1"/>
      <c r="Q28" s="1351">
        <f t="shared" si="11"/>
        <v>111</v>
      </c>
      <c r="R28" s="704" t="s">
        <v>18</v>
      </c>
      <c r="S28" s="705">
        <f t="shared" si="12"/>
        <v>100</v>
      </c>
      <c r="T28" s="704" t="s">
        <v>18</v>
      </c>
      <c r="U28" s="705">
        <f t="shared" si="13"/>
        <v>100</v>
      </c>
      <c r="V28" s="704" t="s">
        <v>18</v>
      </c>
      <c r="W28" s="705">
        <f t="shared" si="14"/>
        <v>100</v>
      </c>
      <c r="X28" s="1354"/>
      <c r="Y28" s="370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1"/>
      <c r="Q29" s="1351">
        <f t="shared" si="11"/>
        <v>111</v>
      </c>
      <c r="R29" s="704" t="s">
        <v>18</v>
      </c>
      <c r="S29" s="705">
        <f t="shared" si="12"/>
        <v>100</v>
      </c>
      <c r="T29" s="704" t="s">
        <v>18</v>
      </c>
      <c r="U29" s="705">
        <f t="shared" si="13"/>
        <v>100</v>
      </c>
      <c r="V29" s="704" t="s">
        <v>18</v>
      </c>
      <c r="W29" s="705">
        <f t="shared" si="14"/>
        <v>100</v>
      </c>
      <c r="X29" s="1354"/>
      <c r="Y29" s="370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1"/>
      <c r="Q30" s="1351">
        <f t="shared" si="11"/>
        <v>111</v>
      </c>
      <c r="R30" s="704" t="s">
        <v>18</v>
      </c>
      <c r="S30" s="705">
        <f t="shared" si="12"/>
        <v>100</v>
      </c>
      <c r="T30" s="704" t="s">
        <v>18</v>
      </c>
      <c r="U30" s="705">
        <f t="shared" si="13"/>
        <v>100</v>
      </c>
      <c r="V30" s="704" t="s">
        <v>18</v>
      </c>
      <c r="W30" s="705">
        <f t="shared" si="14"/>
        <v>100</v>
      </c>
      <c r="X30" s="1354"/>
      <c r="Y30" s="370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1"/>
      <c r="Q31" s="1351">
        <f t="shared" si="11"/>
        <v>111</v>
      </c>
      <c r="R31" s="704" t="s">
        <v>18</v>
      </c>
      <c r="S31" s="705">
        <f t="shared" si="12"/>
        <v>100</v>
      </c>
      <c r="T31" s="704" t="s">
        <v>18</v>
      </c>
      <c r="U31" s="705">
        <f t="shared" si="13"/>
        <v>100</v>
      </c>
      <c r="V31" s="704" t="s">
        <v>18</v>
      </c>
      <c r="W31" s="705">
        <f t="shared" si="14"/>
        <v>100</v>
      </c>
      <c r="X31" s="1354"/>
      <c r="Y31" s="370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5" t="s">
        <v>1696</v>
      </c>
      <c r="Q32" s="1351" t="str">
        <f t="shared" si="11"/>
        <v>建筑类型</v>
      </c>
      <c r="R32" s="704" t="s">
        <v>18</v>
      </c>
      <c r="S32" s="705">
        <f t="shared" si="12"/>
        <v>100</v>
      </c>
      <c r="T32" s="704" t="s">
        <v>18</v>
      </c>
      <c r="U32" s="705">
        <f t="shared" si="13"/>
        <v>100</v>
      </c>
      <c r="V32" s="704" t="s">
        <v>18</v>
      </c>
      <c r="W32" s="705">
        <f t="shared" si="14"/>
        <v>100</v>
      </c>
      <c r="X32" s="1354"/>
      <c r="Y32" s="370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6"/>
      <c r="Q33" s="706" t="str">
        <f t="shared" si="11"/>
        <v>项目建筑规模</v>
      </c>
      <c r="R33" s="707" t="s">
        <v>18</v>
      </c>
      <c r="S33" s="708" t="e">
        <f t="shared" si="12"/>
        <v>#N/A</v>
      </c>
      <c r="T33" s="707" t="s">
        <v>18</v>
      </c>
      <c r="U33" s="708" t="e">
        <f t="shared" si="13"/>
        <v>#N/A</v>
      </c>
      <c r="V33" s="707" t="s">
        <v>18</v>
      </c>
      <c r="W33" s="708" t="e">
        <f t="shared" si="14"/>
        <v>#N/A</v>
      </c>
      <c r="X33" s="709"/>
      <c r="Y33" s="370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6"/>
      <c r="Q34" s="1351" t="str">
        <f t="shared" si="11"/>
        <v>建筑结构</v>
      </c>
      <c r="R34" s="704" t="s">
        <v>18</v>
      </c>
      <c r="S34" s="705">
        <f t="shared" si="12"/>
        <v>100</v>
      </c>
      <c r="T34" s="704" t="s">
        <v>18</v>
      </c>
      <c r="U34" s="705">
        <f t="shared" si="13"/>
        <v>100</v>
      </c>
      <c r="V34" s="704" t="s">
        <v>18</v>
      </c>
      <c r="W34" s="705">
        <f t="shared" si="14"/>
        <v>100</v>
      </c>
      <c r="X34" s="1354"/>
      <c r="Y34" s="370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6"/>
      <c r="Q35" s="1351" t="str">
        <f t="shared" si="11"/>
        <v>建筑品质</v>
      </c>
      <c r="R35" s="704" t="s">
        <v>18</v>
      </c>
      <c r="S35" s="705">
        <f t="shared" si="12"/>
        <v>100</v>
      </c>
      <c r="T35" s="704" t="s">
        <v>18</v>
      </c>
      <c r="U35" s="705">
        <f t="shared" si="13"/>
        <v>100</v>
      </c>
      <c r="V35" s="704" t="s">
        <v>18</v>
      </c>
      <c r="W35" s="705">
        <f t="shared" si="14"/>
        <v>100</v>
      </c>
      <c r="X35" s="1354"/>
      <c r="Y35" s="370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6"/>
      <c r="Q36" s="1351" t="str">
        <f t="shared" si="11"/>
        <v>公共部分装修</v>
      </c>
      <c r="R36" s="704" t="s">
        <v>18</v>
      </c>
      <c r="S36" s="705">
        <f t="shared" si="12"/>
        <v>100</v>
      </c>
      <c r="T36" s="704" t="s">
        <v>18</v>
      </c>
      <c r="U36" s="705">
        <f t="shared" si="13"/>
        <v>100</v>
      </c>
      <c r="V36" s="704" t="s">
        <v>18</v>
      </c>
      <c r="W36" s="705">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6"/>
      <c r="Q37" s="1342" t="str">
        <f t="shared" si="11"/>
        <v>成新度</v>
      </c>
      <c r="R37" s="700" t="s">
        <v>18</v>
      </c>
      <c r="S37" s="701" t="e">
        <f t="shared" si="12"/>
        <v>#N/A</v>
      </c>
      <c r="T37" s="700" t="s">
        <v>18</v>
      </c>
      <c r="U37" s="701" t="e">
        <f t="shared" si="13"/>
        <v>#N/A</v>
      </c>
      <c r="V37" s="700" t="s">
        <v>18</v>
      </c>
      <c r="W37" s="701" t="e">
        <f t="shared" si="14"/>
        <v>#N/A</v>
      </c>
      <c r="X37" s="702"/>
      <c r="Y37" s="370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6" t="s">
        <v>1696</v>
      </c>
      <c r="Q38" s="1351" t="str">
        <f t="shared" si="11"/>
        <v>物业管理</v>
      </c>
      <c r="R38" s="704" t="s">
        <v>18</v>
      </c>
      <c r="S38" s="705">
        <f t="shared" si="12"/>
        <v>100</v>
      </c>
      <c r="T38" s="704" t="s">
        <v>18</v>
      </c>
      <c r="U38" s="705">
        <f t="shared" si="13"/>
        <v>100</v>
      </c>
      <c r="V38" s="704" t="s">
        <v>18</v>
      </c>
      <c r="W38" s="705">
        <f t="shared" si="14"/>
        <v>100</v>
      </c>
      <c r="X38" s="1354"/>
      <c r="Y38" s="370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6"/>
      <c r="Q39" s="1351" t="str">
        <f t="shared" si="11"/>
        <v>市政基础设施</v>
      </c>
      <c r="R39" s="704" t="s">
        <v>18</v>
      </c>
      <c r="S39" s="705">
        <f t="shared" si="12"/>
        <v>100</v>
      </c>
      <c r="T39" s="704" t="s">
        <v>18</v>
      </c>
      <c r="U39" s="705">
        <f t="shared" si="13"/>
        <v>100</v>
      </c>
      <c r="V39" s="704" t="s">
        <v>18</v>
      </c>
      <c r="W39" s="705">
        <f t="shared" si="14"/>
        <v>100</v>
      </c>
      <c r="X39" s="1354"/>
      <c r="Y39" s="370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6"/>
      <c r="Q40" s="1351" t="str">
        <f t="shared" si="11"/>
        <v>房型</v>
      </c>
      <c r="R40" s="704" t="s">
        <v>18</v>
      </c>
      <c r="S40" s="705">
        <f t="shared" si="12"/>
        <v>100</v>
      </c>
      <c r="T40" s="704" t="s">
        <v>18</v>
      </c>
      <c r="U40" s="705">
        <f t="shared" si="13"/>
        <v>100</v>
      </c>
      <c r="V40" s="704" t="s">
        <v>18</v>
      </c>
      <c r="W40" s="705">
        <f t="shared" si="14"/>
        <v>100</v>
      </c>
      <c r="X40" s="1354"/>
      <c r="Y40" s="370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6"/>
      <c r="Q41" s="706" t="str">
        <f t="shared" si="11"/>
        <v>单套/主力户型建筑面积</v>
      </c>
      <c r="R41" s="707" t="s">
        <v>18</v>
      </c>
      <c r="S41" s="708">
        <f t="shared" si="12"/>
        <v>100</v>
      </c>
      <c r="T41" s="707" t="s">
        <v>18</v>
      </c>
      <c r="U41" s="708">
        <f t="shared" si="13"/>
        <v>100</v>
      </c>
      <c r="V41" s="707" t="s">
        <v>18</v>
      </c>
      <c r="W41" s="708">
        <f t="shared" si="14"/>
        <v>100</v>
      </c>
      <c r="X41" s="709"/>
      <c r="Y41" s="370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6"/>
      <c r="Q42" s="1351" t="str">
        <f t="shared" si="11"/>
        <v>内部装修</v>
      </c>
      <c r="R42" s="704" t="s">
        <v>18</v>
      </c>
      <c r="S42" s="705">
        <f t="shared" si="12"/>
        <v>100</v>
      </c>
      <c r="T42" s="704" t="s">
        <v>18</v>
      </c>
      <c r="U42" s="705">
        <f t="shared" si="13"/>
        <v>100</v>
      </c>
      <c r="V42" s="704" t="s">
        <v>18</v>
      </c>
      <c r="W42" s="705">
        <f t="shared" si="14"/>
        <v>100</v>
      </c>
      <c r="X42" s="1354"/>
      <c r="Y42" s="370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6"/>
      <c r="Q43" s="1351" t="str">
        <f t="shared" si="11"/>
        <v>内部装修维护情况</v>
      </c>
      <c r="R43" s="704" t="s">
        <v>18</v>
      </c>
      <c r="S43" s="705">
        <f t="shared" si="12"/>
        <v>100</v>
      </c>
      <c r="T43" s="704" t="s">
        <v>18</v>
      </c>
      <c r="U43" s="705">
        <f t="shared" si="13"/>
        <v>100</v>
      </c>
      <c r="V43" s="704" t="s">
        <v>18</v>
      </c>
      <c r="W43" s="705">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6"/>
      <c r="Q44" s="1342">
        <f t="shared" si="11"/>
        <v>111</v>
      </c>
      <c r="R44" s="700" t="s">
        <v>18</v>
      </c>
      <c r="S44" s="701">
        <f t="shared" si="12"/>
        <v>100</v>
      </c>
      <c r="T44" s="700" t="s">
        <v>18</v>
      </c>
      <c r="U44" s="701">
        <f t="shared" si="13"/>
        <v>100</v>
      </c>
      <c r="V44" s="700" t="s">
        <v>18</v>
      </c>
      <c r="W44" s="701">
        <f t="shared" si="14"/>
        <v>100</v>
      </c>
      <c r="X44" s="702"/>
      <c r="Y44" s="370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6"/>
      <c r="Q45" s="1351">
        <f t="shared" si="11"/>
        <v>111</v>
      </c>
      <c r="R45" s="704" t="s">
        <v>18</v>
      </c>
      <c r="S45" s="705">
        <f t="shared" si="12"/>
        <v>100</v>
      </c>
      <c r="T45" s="704" t="s">
        <v>18</v>
      </c>
      <c r="U45" s="705">
        <f t="shared" si="13"/>
        <v>100</v>
      </c>
      <c r="V45" s="704" t="s">
        <v>18</v>
      </c>
      <c r="W45" s="705">
        <f t="shared" si="14"/>
        <v>100</v>
      </c>
      <c r="X45" s="1354"/>
      <c r="Y45" s="370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7"/>
      <c r="Q46" s="1351">
        <f t="shared" si="11"/>
        <v>111</v>
      </c>
      <c r="R46" s="704" t="s">
        <v>17</v>
      </c>
      <c r="S46" s="705">
        <f t="shared" si="12"/>
        <v>100</v>
      </c>
      <c r="T46" s="704" t="s">
        <v>17</v>
      </c>
      <c r="U46" s="705">
        <f t="shared" si="13"/>
        <v>100</v>
      </c>
      <c r="V46" s="704" t="s">
        <v>17</v>
      </c>
      <c r="W46" s="705">
        <f t="shared" si="14"/>
        <v>100</v>
      </c>
      <c r="X46" s="1354"/>
      <c r="Y46" s="370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2024-9</v>
      </c>
      <c r="D58" s="1184">
        <f>EDATE(C58,-1)</f>
        <v>45505</v>
      </c>
      <c r="E58" s="1184">
        <f>EDATE(D58,-1)</f>
        <v>45474</v>
      </c>
      <c r="F58" s="1184">
        <f t="shared" ref="F58:O58" si="19">EDATE(E58,-1)</f>
        <v>45444</v>
      </c>
      <c r="G58" s="1184">
        <f t="shared" si="19"/>
        <v>45413</v>
      </c>
      <c r="H58" s="1184">
        <f t="shared" si="19"/>
        <v>45383</v>
      </c>
      <c r="I58" s="1184">
        <f t="shared" si="19"/>
        <v>45352</v>
      </c>
      <c r="J58" s="1184">
        <f t="shared" si="19"/>
        <v>45323</v>
      </c>
      <c r="K58" s="1184">
        <f t="shared" si="19"/>
        <v>45292</v>
      </c>
      <c r="L58" s="1184">
        <f t="shared" si="19"/>
        <v>45261</v>
      </c>
      <c r="M58" s="1184">
        <f t="shared" si="19"/>
        <v>45231</v>
      </c>
      <c r="N58" s="1184">
        <f t="shared" si="19"/>
        <v>45200</v>
      </c>
      <c r="O58" s="1184">
        <f t="shared" si="19"/>
        <v>45170</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9" zoomScale="90" zoomScaleNormal="70" zoomScaleSheetLayoutView="90"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3395</v>
      </c>
      <c r="E1" s="3424" t="s">
        <v>3424</v>
      </c>
      <c r="F1" s="1878" t="s">
        <v>3425</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1.2281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13.2</v>
      </c>
      <c r="C3" s="354" t="s">
        <v>1768</v>
      </c>
      <c r="D3" s="353">
        <f>IF(D1="",'数据-汇总表'!E3,SUMIF('数据-汇总表'!$C19:$C33,D1,'数据-汇总表'!$E19:$E33))</f>
        <v>930.34999999999991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32" t="s">
        <v>1772</v>
      </c>
      <c r="AC4" s="3713" t="s">
        <v>1773</v>
      </c>
    </row>
    <row r="5" spans="1:29" ht="15">
      <c r="A5" s="358"/>
      <c r="B5" s="359"/>
      <c r="C5" s="3735" t="s">
        <v>1673</v>
      </c>
      <c r="D5" s="3736"/>
      <c r="E5" s="3746" t="s">
        <v>3481</v>
      </c>
      <c r="F5" s="3743"/>
      <c r="G5" s="3745" t="s">
        <v>3489</v>
      </c>
      <c r="H5" s="3736"/>
      <c r="I5" s="3745" t="s">
        <v>3491</v>
      </c>
      <c r="J5" s="3736"/>
      <c r="K5" s="559"/>
      <c r="L5" s="2714"/>
      <c r="M5" s="2715"/>
      <c r="N5" s="2715"/>
      <c r="O5" s="2715"/>
      <c r="P5" s="3722"/>
      <c r="Q5" s="3723"/>
      <c r="R5" s="3728"/>
      <c r="S5" s="3729"/>
      <c r="T5" s="3728"/>
      <c r="U5" s="3729"/>
      <c r="V5" s="3732"/>
      <c r="W5" s="3732"/>
      <c r="X5" s="1354"/>
      <c r="Y5" s="3728"/>
      <c r="Z5" s="3729"/>
      <c r="AA5" s="3714"/>
      <c r="AB5" s="3732"/>
      <c r="AC5" s="3714"/>
    </row>
    <row r="6" spans="1:29" ht="15.75" thickBot="1">
      <c r="A6" s="360"/>
      <c r="B6" s="361"/>
      <c r="C6" s="3733" t="s">
        <v>1677</v>
      </c>
      <c r="D6" s="3734"/>
      <c r="E6" s="3740" t="s">
        <v>1677</v>
      </c>
      <c r="F6" s="3741"/>
      <c r="G6" s="3733" t="s">
        <v>1677</v>
      </c>
      <c r="H6" s="3734"/>
      <c r="I6" s="3744" t="s">
        <v>3492</v>
      </c>
      <c r="J6" s="3734"/>
      <c r="K6" s="559" t="s">
        <v>1678</v>
      </c>
      <c r="L6" s="2714"/>
      <c r="M6" s="2715"/>
      <c r="N6" s="2715"/>
      <c r="O6" s="2715"/>
      <c r="P6" s="3724"/>
      <c r="Q6" s="3725"/>
      <c r="R6" s="3728"/>
      <c r="S6" s="3729"/>
      <c r="T6" s="3730"/>
      <c r="U6" s="3731"/>
      <c r="V6" s="3732"/>
      <c r="W6" s="3732"/>
      <c r="X6" s="1354"/>
      <c r="Y6" s="3730"/>
      <c r="Z6" s="3731"/>
      <c r="AA6" s="3715"/>
      <c r="AB6" s="3732"/>
      <c r="AC6" s="3715"/>
    </row>
    <row r="7" spans="1:29" s="108" customFormat="1" ht="15.75" thickBot="1">
      <c r="A7" s="362" t="s">
        <v>1679</v>
      </c>
      <c r="B7" s="363"/>
      <c r="C7" s="364">
        <f>'数据-取费表'!B2</f>
        <v>45554</v>
      </c>
      <c r="D7" s="365">
        <v>100</v>
      </c>
      <c r="E7" s="366">
        <f>C7</f>
        <v>45554</v>
      </c>
      <c r="F7" s="367">
        <f>SUMIF(58:58,YEAR(E7)&amp;"-"&amp;MONTH(E7),59:59)</f>
        <v>100</v>
      </c>
      <c r="G7" s="366">
        <f>C7</f>
        <v>45554</v>
      </c>
      <c r="H7" s="365">
        <f>SUMIF(58:58,YEAR(G7)&amp;"-"&amp;MONTH(G7),59:59)</f>
        <v>100</v>
      </c>
      <c r="I7" s="366">
        <f>C7</f>
        <v>45554</v>
      </c>
      <c r="J7" s="365">
        <f>SUMIF(58:58,YEAR(I7)&amp;"-"&amp;MONTH(I7),59:59)</f>
        <v>100</v>
      </c>
      <c r="K7" s="560"/>
      <c r="L7" s="2716"/>
      <c r="M7" s="2717"/>
      <c r="N7" s="2717"/>
      <c r="O7" s="2717"/>
      <c r="P7" s="3737" t="s">
        <v>1680</v>
      </c>
      <c r="Q7" s="3739"/>
      <c r="R7" s="700" t="s">
        <v>14</v>
      </c>
      <c r="S7" s="701">
        <f t="shared" ref="S7:S15" si="0">F7</f>
        <v>100</v>
      </c>
      <c r="T7" s="700" t="s">
        <v>14</v>
      </c>
      <c r="U7" s="701">
        <f t="shared" ref="U7:U15" si="1">H7</f>
        <v>100</v>
      </c>
      <c r="V7" s="700" t="s">
        <v>14</v>
      </c>
      <c r="W7" s="701">
        <f t="shared" ref="W7:W15" si="2">J7</f>
        <v>100</v>
      </c>
      <c r="X7" s="702"/>
      <c r="Y7" s="3737" t="s">
        <v>1680</v>
      </c>
      <c r="Z7" s="3738"/>
      <c r="AA7" s="703">
        <f>D7/F7</f>
        <v>1</v>
      </c>
      <c r="AB7" s="703">
        <f>D7/H7</f>
        <v>1</v>
      </c>
      <c r="AC7" s="703">
        <f>D7/J7</f>
        <v>1</v>
      </c>
    </row>
    <row r="8" spans="1:29" s="108" customFormat="1" ht="15.75" thickBot="1">
      <c r="A8" s="362" t="s">
        <v>1681</v>
      </c>
      <c r="B8" s="363"/>
      <c r="C8" s="368" t="s">
        <v>3467</v>
      </c>
      <c r="D8" s="365">
        <v>100</v>
      </c>
      <c r="E8" s="368" t="s">
        <v>3433</v>
      </c>
      <c r="F8" s="367">
        <f>SUMIF(61:61,E8,62:62)-SUMIF(61:61,C8,62:62)+100</f>
        <v>102</v>
      </c>
      <c r="G8" s="368" t="s">
        <v>3467</v>
      </c>
      <c r="H8" s="365">
        <f>SUMIF(61:61,G8,62:62)-SUMIF(61:61,C8,62:62)+100</f>
        <v>100</v>
      </c>
      <c r="I8" s="368" t="s">
        <v>3433</v>
      </c>
      <c r="J8" s="365">
        <f>SUMIF(61:61,I8,62:62)-SUMIF(61:61,C8,62:62)+100</f>
        <v>102</v>
      </c>
      <c r="K8" s="560"/>
      <c r="L8" s="2716"/>
      <c r="M8" s="2717"/>
      <c r="N8" s="2717"/>
      <c r="O8" s="2717"/>
      <c r="P8" s="3737" t="s">
        <v>1683</v>
      </c>
      <c r="Q8" s="3738"/>
      <c r="R8" s="700" t="s">
        <v>14</v>
      </c>
      <c r="S8" s="701">
        <f t="shared" si="0"/>
        <v>102</v>
      </c>
      <c r="T8" s="700" t="s">
        <v>14</v>
      </c>
      <c r="U8" s="701">
        <f t="shared" si="1"/>
        <v>100</v>
      </c>
      <c r="V8" s="700" t="s">
        <v>14</v>
      </c>
      <c r="W8" s="701">
        <f t="shared" si="2"/>
        <v>102</v>
      </c>
      <c r="X8" s="702"/>
      <c r="Y8" s="3737" t="s">
        <v>1683</v>
      </c>
      <c r="Z8" s="3738"/>
      <c r="AA8" s="703">
        <f t="shared" ref="AA8:AA46" si="3">D8/F8</f>
        <v>0.98039215686274506</v>
      </c>
      <c r="AB8" s="703">
        <f t="shared" ref="AB8:AB46" si="4">D8/H8</f>
        <v>1</v>
      </c>
      <c r="AC8" s="703">
        <f t="shared" ref="AC8:AC46" si="5">D8/J8</f>
        <v>0.98039215686274506</v>
      </c>
    </row>
    <row r="9" spans="1:29" s="108" customFormat="1">
      <c r="A9" s="369" t="s">
        <v>1684</v>
      </c>
      <c r="B9" s="63" t="s">
        <v>1685</v>
      </c>
      <c r="C9" s="3457" t="s">
        <v>3432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12"/>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2"/>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0" t="s">
        <v>1691</v>
      </c>
      <c r="Q15" s="1351" t="str">
        <f t="shared" si="6"/>
        <v>商业繁华度</v>
      </c>
      <c r="R15" s="704" t="s">
        <v>14</v>
      </c>
      <c r="S15" s="705">
        <f t="shared" si="0"/>
        <v>100</v>
      </c>
      <c r="T15" s="704" t="s">
        <v>14</v>
      </c>
      <c r="U15" s="705">
        <f t="shared" si="1"/>
        <v>100</v>
      </c>
      <c r="V15" s="704" t="s">
        <v>14</v>
      </c>
      <c r="W15" s="705">
        <f t="shared" si="2"/>
        <v>100</v>
      </c>
      <c r="X15" s="1354"/>
      <c r="Y15" s="3703" t="s">
        <v>1691</v>
      </c>
      <c r="Z15" s="1355" t="str">
        <f t="shared" si="7"/>
        <v>商业繁华度</v>
      </c>
      <c r="AA15" s="1352">
        <f t="shared" si="3"/>
        <v>1</v>
      </c>
      <c r="AB15" s="1352">
        <f t="shared" si="4"/>
        <v>1</v>
      </c>
      <c r="AC15" s="1352">
        <f t="shared" si="5"/>
        <v>1</v>
      </c>
    </row>
    <row r="16" spans="1:29" ht="15">
      <c r="A16" s="379"/>
      <c r="B16" s="397"/>
      <c r="C16" s="398" t="s">
        <v>3414</v>
      </c>
      <c r="D16" s="399"/>
      <c r="E16" s="398" t="s">
        <v>3414</v>
      </c>
      <c r="F16" s="400"/>
      <c r="G16" s="398" t="s">
        <v>3414</v>
      </c>
      <c r="H16" s="401"/>
      <c r="I16" s="398" t="s">
        <v>3414</v>
      </c>
      <c r="J16" s="399"/>
      <c r="K16" s="564"/>
      <c r="L16" s="2721"/>
      <c r="M16" s="2715"/>
      <c r="N16" s="2715"/>
      <c r="O16" s="2715"/>
      <c r="P16" s="3711"/>
      <c r="Q16" s="1351"/>
      <c r="R16" s="704"/>
      <c r="S16" s="705"/>
      <c r="T16" s="704"/>
      <c r="U16" s="705"/>
      <c r="V16" s="704"/>
      <c r="W16" s="705"/>
      <c r="X16" s="1354"/>
      <c r="Y16" s="370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1"/>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t="s">
        <v>3415</v>
      </c>
      <c r="D18" s="401"/>
      <c r="E18" s="1900" t="s">
        <v>3415</v>
      </c>
      <c r="F18" s="404"/>
      <c r="G18" s="1900" t="s">
        <v>3415</v>
      </c>
      <c r="H18" s="399"/>
      <c r="I18" s="1900" t="s">
        <v>3415</v>
      </c>
      <c r="J18" s="399"/>
      <c r="K18" s="564"/>
      <c r="L18" s="2721"/>
      <c r="M18" s="2715"/>
      <c r="N18" s="2715"/>
      <c r="O18" s="2715"/>
      <c r="P18" s="3711"/>
      <c r="Q18" s="1351"/>
      <c r="R18" s="704"/>
      <c r="S18" s="705"/>
      <c r="T18" s="704"/>
      <c r="U18" s="705"/>
      <c r="V18" s="704"/>
      <c r="W18" s="705"/>
      <c r="X18" s="1354"/>
      <c r="Y18" s="370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1"/>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t="s">
        <v>3414</v>
      </c>
      <c r="D20" s="399"/>
      <c r="E20" s="398" t="s">
        <v>3414</v>
      </c>
      <c r="F20" s="400"/>
      <c r="G20" s="398" t="s">
        <v>3414</v>
      </c>
      <c r="H20" s="399"/>
      <c r="I20" s="398" t="s">
        <v>3414</v>
      </c>
      <c r="J20" s="399"/>
      <c r="K20" s="564"/>
      <c r="L20" s="2721"/>
      <c r="M20" s="2715"/>
      <c r="N20" s="2715"/>
      <c r="O20" s="2715"/>
      <c r="P20" s="3711"/>
      <c r="Q20" s="1351"/>
      <c r="R20" s="704"/>
      <c r="S20" s="705"/>
      <c r="T20" s="704"/>
      <c r="U20" s="705"/>
      <c r="V20" s="704"/>
      <c r="W20" s="705"/>
      <c r="X20" s="1354"/>
      <c r="Y20" s="370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t="s">
        <v>3459</v>
      </c>
      <c r="D22" s="399"/>
      <c r="E22" s="1900" t="s">
        <v>3459</v>
      </c>
      <c r="F22" s="400"/>
      <c r="G22" s="1900" t="s">
        <v>3459</v>
      </c>
      <c r="H22" s="399"/>
      <c r="I22" s="1900" t="s">
        <v>3459</v>
      </c>
      <c r="J22" s="399"/>
      <c r="K22" s="1129"/>
      <c r="L22" s="2721"/>
      <c r="M22" s="2715"/>
      <c r="N22" s="2715"/>
      <c r="O22" s="2715"/>
      <c r="P22" s="3711"/>
      <c r="Q22" s="1351"/>
      <c r="R22" s="704"/>
      <c r="S22" s="705"/>
      <c r="T22" s="704"/>
      <c r="U22" s="705"/>
      <c r="V22" s="704"/>
      <c r="W22" s="705"/>
      <c r="X22" s="1354"/>
      <c r="Y22" s="370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1"/>
      <c r="Q23" s="1351" t="str">
        <f>B23</f>
        <v>自然及人文环境</v>
      </c>
      <c r="R23" s="704" t="s">
        <v>14</v>
      </c>
      <c r="S23" s="705">
        <f>F23</f>
        <v>100</v>
      </c>
      <c r="T23" s="704" t="s">
        <v>14</v>
      </c>
      <c r="U23" s="705">
        <f>H23</f>
        <v>100</v>
      </c>
      <c r="V23" s="704" t="s">
        <v>14</v>
      </c>
      <c r="W23" s="705">
        <f>J23</f>
        <v>100</v>
      </c>
      <c r="X23" s="1354"/>
      <c r="Y23" s="3704"/>
      <c r="Z23" s="1355" t="str">
        <f>Q23</f>
        <v>自然及人文环境</v>
      </c>
      <c r="AA23" s="1352">
        <f t="shared" si="3"/>
        <v>1</v>
      </c>
      <c r="AB23" s="1352">
        <f t="shared" si="4"/>
        <v>1</v>
      </c>
      <c r="AC23" s="1352">
        <f t="shared" si="5"/>
        <v>1</v>
      </c>
    </row>
    <row r="24" spans="1:29" ht="15">
      <c r="A24" s="379"/>
      <c r="B24" s="407"/>
      <c r="C24" s="398" t="s">
        <v>3415</v>
      </c>
      <c r="D24" s="399"/>
      <c r="E24" s="398" t="s">
        <v>3415</v>
      </c>
      <c r="F24" s="400"/>
      <c r="G24" s="398" t="s">
        <v>3415</v>
      </c>
      <c r="H24" s="399"/>
      <c r="I24" s="398" t="s">
        <v>3415</v>
      </c>
      <c r="J24" s="399"/>
      <c r="K24" s="564"/>
      <c r="L24" s="2721"/>
      <c r="M24" s="2715"/>
      <c r="N24" s="2715"/>
      <c r="O24" s="2715"/>
      <c r="P24" s="3711"/>
      <c r="Q24" s="1351"/>
      <c r="R24" s="704"/>
      <c r="S24" s="705"/>
      <c r="T24" s="704"/>
      <c r="U24" s="705"/>
      <c r="V24" s="704"/>
      <c r="W24" s="705"/>
      <c r="X24" s="1354"/>
      <c r="Y24" s="3704"/>
      <c r="Z24" s="1355"/>
      <c r="AA24" s="1352">
        <v>1</v>
      </c>
      <c r="AB24" s="1352">
        <v>1</v>
      </c>
      <c r="AC24" s="1352">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c r="L25" s="2721"/>
      <c r="M25" s="2715"/>
      <c r="N25" s="2715"/>
      <c r="O25" s="2715"/>
      <c r="P25" s="3711"/>
      <c r="Q25" s="1351" t="str">
        <f t="shared" ref="Q25:Q46" si="11">B25</f>
        <v>临街状况</v>
      </c>
      <c r="R25" s="704" t="s">
        <v>14</v>
      </c>
      <c r="S25" s="705">
        <f>F25</f>
        <v>100</v>
      </c>
      <c r="T25" s="704" t="s">
        <v>14</v>
      </c>
      <c r="U25" s="705">
        <f>H25</f>
        <v>100</v>
      </c>
      <c r="V25" s="704" t="s">
        <v>14</v>
      </c>
      <c r="W25" s="705">
        <f>J25</f>
        <v>100</v>
      </c>
      <c r="X25" s="1354"/>
      <c r="Y25" s="3704"/>
      <c r="Z25" s="1355" t="str">
        <f>Q25</f>
        <v>临街状况</v>
      </c>
      <c r="AA25" s="1352">
        <f t="shared" si="3"/>
        <v>1</v>
      </c>
      <c r="AB25" s="1352">
        <f t="shared" si="4"/>
        <v>1</v>
      </c>
      <c r="AC25" s="1352">
        <f t="shared" si="5"/>
        <v>1</v>
      </c>
    </row>
    <row r="26" spans="1:29" ht="15">
      <c r="A26" s="379"/>
      <c r="B26" s="1132" t="s">
        <v>1781</v>
      </c>
      <c r="C26" s="3464" t="s">
        <v>3486</v>
      </c>
      <c r="D26" s="386">
        <v>100</v>
      </c>
      <c r="E26" s="3464" t="s">
        <v>3486</v>
      </c>
      <c r="F26" s="412">
        <f>SUMIF(88:88,E26,89:89)-SUMIF(88:88,C26,89:89)+100</f>
        <v>100</v>
      </c>
      <c r="G26" s="3464" t="s">
        <v>3486</v>
      </c>
      <c r="H26" s="386">
        <f>SUMIF(88:88,G26,89:89)-SUMIF(88:88,C26,89:89)+100</f>
        <v>100</v>
      </c>
      <c r="I26" s="3464" t="s">
        <v>3486</v>
      </c>
      <c r="J26" s="386">
        <f>SUMIF(88:88,I26,89:89)-SUMIF(88:88,C26,89:89)+100</f>
        <v>100</v>
      </c>
      <c r="K26" s="562"/>
      <c r="L26" s="2721"/>
      <c r="M26" s="2715"/>
      <c r="N26" s="2715"/>
      <c r="O26" s="2715"/>
      <c r="P26" s="3711"/>
      <c r="Q26" s="1351" t="str">
        <f t="shared" si="11"/>
        <v>平面位置/可视性</v>
      </c>
      <c r="R26" s="704" t="s">
        <v>14</v>
      </c>
      <c r="S26" s="705">
        <f>F26</f>
        <v>100</v>
      </c>
      <c r="T26" s="704" t="s">
        <v>14</v>
      </c>
      <c r="U26" s="705">
        <f>H26</f>
        <v>100</v>
      </c>
      <c r="V26" s="704" t="s">
        <v>14</v>
      </c>
      <c r="W26" s="705">
        <f>J26</f>
        <v>100</v>
      </c>
      <c r="X26" s="1354"/>
      <c r="Y26" s="3704"/>
      <c r="Z26" s="1355" t="str">
        <f>Q26</f>
        <v>平面位置/可视性</v>
      </c>
      <c r="AA26" s="1352">
        <f t="shared" si="3"/>
        <v>1</v>
      </c>
      <c r="AB26" s="1352">
        <f t="shared" si="4"/>
        <v>1</v>
      </c>
      <c r="AC26" s="1352">
        <f t="shared" si="5"/>
        <v>1</v>
      </c>
    </row>
    <row r="27" spans="1:29" s="108" customFormat="1" ht="15">
      <c r="A27" s="382"/>
      <c r="B27" s="402" t="s">
        <v>1782</v>
      </c>
      <c r="C27" s="1955" t="s">
        <v>3442</v>
      </c>
      <c r="D27" s="413">
        <v>100</v>
      </c>
      <c r="E27" s="1955" t="s">
        <v>3442</v>
      </c>
      <c r="F27" s="415">
        <f>SUMIF(90:90,E27,91:91)-SUMIF(90:90,C27,91:91)+100</f>
        <v>100</v>
      </c>
      <c r="G27" s="1955" t="s">
        <v>3442</v>
      </c>
      <c r="H27" s="413">
        <f>SUMIF(90:90,G27,91:91)-SUMIF(90:90,C27,91:91)+100</f>
        <v>100</v>
      </c>
      <c r="I27" s="1955" t="s">
        <v>3442</v>
      </c>
      <c r="J27" s="413">
        <f>SUMIF(90:90,I27,91:91)-SUMIF(90:90,C27,91:91)+100</f>
        <v>100</v>
      </c>
      <c r="K27" s="561"/>
      <c r="L27" s="2716"/>
      <c r="M27" s="2717"/>
      <c r="N27" s="2717"/>
      <c r="O27" s="2717"/>
      <c r="P27" s="3711"/>
      <c r="Q27" s="1342" t="str">
        <f t="shared" si="11"/>
        <v>人流量</v>
      </c>
      <c r="R27" s="700" t="s">
        <v>14</v>
      </c>
      <c r="S27" s="701">
        <f>F27</f>
        <v>100</v>
      </c>
      <c r="T27" s="700" t="s">
        <v>14</v>
      </c>
      <c r="U27" s="701">
        <f>H27</f>
        <v>100</v>
      </c>
      <c r="V27" s="700" t="s">
        <v>14</v>
      </c>
      <c r="W27" s="701">
        <f>J27</f>
        <v>100</v>
      </c>
      <c r="X27" s="702"/>
      <c r="Y27" s="3704"/>
      <c r="Z27" s="52" t="str">
        <f>Q27</f>
        <v>人流量</v>
      </c>
      <c r="AA27" s="1352">
        <f>D27/F27</f>
        <v>1</v>
      </c>
      <c r="AB27" s="1352">
        <f>D27/H27</f>
        <v>1</v>
      </c>
      <c r="AC27" s="1352">
        <f>D27/J27</f>
        <v>1</v>
      </c>
    </row>
    <row r="28" spans="1:29" ht="15">
      <c r="A28" s="379"/>
      <c r="B28" s="375" t="s">
        <v>1783</v>
      </c>
      <c r="C28" s="565" t="s">
        <v>3468</v>
      </c>
      <c r="D28" s="386">
        <v>100</v>
      </c>
      <c r="E28" s="565" t="s">
        <v>3468</v>
      </c>
      <c r="F28" s="412">
        <f>SUMIF(92:92,E28,93:93)-SUMIF(92:92,C28,93:93)+100</f>
        <v>100</v>
      </c>
      <c r="G28" s="565" t="s">
        <v>3468</v>
      </c>
      <c r="H28" s="386">
        <f>SUMIF(92:92,G28,93:93)-SUMIF(92:92,C28,93:93)+100</f>
        <v>100</v>
      </c>
      <c r="I28" s="565" t="s">
        <v>3468</v>
      </c>
      <c r="J28" s="386">
        <f>SUMIF(92:92,I28,93:93)-SUMIF(92:92,C28,93:93)+100</f>
        <v>100</v>
      </c>
      <c r="K28" s="562"/>
      <c r="L28" s="2721"/>
      <c r="M28" s="2715"/>
      <c r="N28" s="2715"/>
      <c r="O28" s="2715"/>
      <c r="P28" s="371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1"/>
      <c r="Q29" s="1351">
        <f t="shared" si="11"/>
        <v>111</v>
      </c>
      <c r="R29" s="704" t="s">
        <v>14</v>
      </c>
      <c r="S29" s="705">
        <f t="shared" si="12"/>
        <v>100</v>
      </c>
      <c r="T29" s="704" t="s">
        <v>14</v>
      </c>
      <c r="U29" s="705">
        <f t="shared" si="13"/>
        <v>100</v>
      </c>
      <c r="V29" s="704" t="s">
        <v>14</v>
      </c>
      <c r="W29" s="705">
        <f t="shared" si="14"/>
        <v>100</v>
      </c>
      <c r="X29" s="1354"/>
      <c r="Y29" s="370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1"/>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1"/>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352">
        <f t="shared" si="5"/>
        <v>1</v>
      </c>
    </row>
    <row r="32" spans="1:29" ht="15">
      <c r="A32" s="391" t="s">
        <v>1694</v>
      </c>
      <c r="B32" s="63" t="s">
        <v>1784</v>
      </c>
      <c r="C32" s="1909" t="s">
        <v>3451</v>
      </c>
      <c r="D32" s="418">
        <v>100</v>
      </c>
      <c r="E32" s="1909" t="s">
        <v>3451</v>
      </c>
      <c r="F32" s="412">
        <f>SUMIF(100:100,E32,101:101)-SUMIF(100:100,C32,101:101)+100</f>
        <v>100</v>
      </c>
      <c r="G32" s="1909" t="s">
        <v>3451</v>
      </c>
      <c r="H32" s="386">
        <f>SUMIF(100:100,G32,101:101)-SUMIF(100:100,C32,101:101)+100</f>
        <v>100</v>
      </c>
      <c r="I32" s="1909" t="s">
        <v>3451</v>
      </c>
      <c r="J32" s="418">
        <f>SUMIF(100:100,I32,101:101)-SUMIF(100:100,C32,101:101)+100</f>
        <v>100</v>
      </c>
      <c r="K32" s="561"/>
      <c r="L32" s="2721"/>
      <c r="M32" s="2715"/>
      <c r="N32" s="2715"/>
      <c r="O32" s="2715"/>
      <c r="P32" s="3705" t="s">
        <v>1696</v>
      </c>
      <c r="Q32" s="1351" t="str">
        <f t="shared" si="11"/>
        <v>商业类型</v>
      </c>
      <c r="R32" s="704" t="s">
        <v>14</v>
      </c>
      <c r="S32" s="705">
        <f t="shared" si="12"/>
        <v>100</v>
      </c>
      <c r="T32" s="704" t="s">
        <v>14</v>
      </c>
      <c r="U32" s="705">
        <f t="shared" si="13"/>
        <v>100</v>
      </c>
      <c r="V32" s="704" t="s">
        <v>14</v>
      </c>
      <c r="W32" s="705">
        <f t="shared" si="14"/>
        <v>100</v>
      </c>
      <c r="X32" s="1354"/>
      <c r="Y32" s="3708"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186.07</v>
      </c>
      <c r="D33" s="127">
        <v>100</v>
      </c>
      <c r="E33" s="381">
        <v>253</v>
      </c>
      <c r="F33" s="376">
        <f>LOOKUP(E33,103:103,104:104)-LOOKUP(C33,103:103,104:104)+100</f>
        <v>100</v>
      </c>
      <c r="G33" s="380">
        <v>118.58</v>
      </c>
      <c r="H33" s="127">
        <f>LOOKUP(G33,103:103,104:104)-LOOKUP(C33,103:103,104:104)+100</f>
        <v>100</v>
      </c>
      <c r="I33" s="380">
        <v>310</v>
      </c>
      <c r="J33" s="127">
        <f>LOOKUP(I33,103:103,104:104)-LOOKUP(C33,103:103,104:104)+100</f>
        <v>99</v>
      </c>
      <c r="K33" s="562"/>
      <c r="L33" s="2720"/>
      <c r="M33" s="2722"/>
      <c r="N33" s="2722"/>
      <c r="O33" s="2722"/>
      <c r="P33" s="3706"/>
      <c r="Q33" s="706" t="str">
        <f t="shared" si="11"/>
        <v>项目建筑规模</v>
      </c>
      <c r="R33" s="707" t="s">
        <v>14</v>
      </c>
      <c r="S33" s="708">
        <f t="shared" si="12"/>
        <v>100</v>
      </c>
      <c r="T33" s="707" t="s">
        <v>14</v>
      </c>
      <c r="U33" s="708">
        <f t="shared" si="13"/>
        <v>100</v>
      </c>
      <c r="V33" s="707" t="s">
        <v>14</v>
      </c>
      <c r="W33" s="708">
        <f t="shared" si="14"/>
        <v>99</v>
      </c>
      <c r="X33" s="709"/>
      <c r="Y33" s="3708"/>
      <c r="Z33" s="710" t="str">
        <f t="shared" si="15"/>
        <v>项目建筑规模</v>
      </c>
      <c r="AA33" s="1352">
        <f t="shared" si="3"/>
        <v>1</v>
      </c>
      <c r="AB33" s="1352">
        <f t="shared" si="4"/>
        <v>1</v>
      </c>
      <c r="AC33" s="1352">
        <f t="shared" si="5"/>
        <v>1.0101010101010102</v>
      </c>
    </row>
    <row r="34" spans="1:29" ht="15">
      <c r="A34" s="423"/>
      <c r="B34" s="375" t="s">
        <v>1698</v>
      </c>
      <c r="C34" s="1911" t="s">
        <v>3399</v>
      </c>
      <c r="D34" s="386">
        <v>100</v>
      </c>
      <c r="E34" s="1911" t="s">
        <v>3399</v>
      </c>
      <c r="F34" s="412">
        <f>SUMIF(105:105,E34,106:106)-SUMIF(105:105,C34,106:106)+100</f>
        <v>100</v>
      </c>
      <c r="G34" s="1911" t="s">
        <v>3399</v>
      </c>
      <c r="H34" s="386">
        <f>SUMIF(105:105,G34,106:106)-SUMIF(105:105,C34,106:106)+100</f>
        <v>100</v>
      </c>
      <c r="I34" s="1911" t="s">
        <v>3399</v>
      </c>
      <c r="J34" s="386">
        <f>SUMIF(105:105,I34,106:106)-SUMIF(105:105,C34,106:106)+100</f>
        <v>100</v>
      </c>
      <c r="K34" s="561">
        <v>1</v>
      </c>
      <c r="L34" s="2721"/>
      <c r="M34" s="2715"/>
      <c r="N34" s="2715"/>
      <c r="O34" s="2715"/>
      <c r="P34" s="3706"/>
      <c r="Q34" s="1351" t="str">
        <f t="shared" si="11"/>
        <v>建筑结构</v>
      </c>
      <c r="R34" s="704" t="s">
        <v>14</v>
      </c>
      <c r="S34" s="705">
        <f t="shared" si="12"/>
        <v>100</v>
      </c>
      <c r="T34" s="704" t="s">
        <v>14</v>
      </c>
      <c r="U34" s="705">
        <f t="shared" si="13"/>
        <v>100</v>
      </c>
      <c r="V34" s="704" t="s">
        <v>14</v>
      </c>
      <c r="W34" s="705">
        <f t="shared" si="14"/>
        <v>100</v>
      </c>
      <c r="X34" s="1354"/>
      <c r="Y34" s="3708"/>
      <c r="Z34" s="1355" t="str">
        <f t="shared" si="15"/>
        <v>建筑结构</v>
      </c>
      <c r="AA34" s="1352">
        <f t="shared" si="3"/>
        <v>1</v>
      </c>
      <c r="AB34" s="1352">
        <f t="shared" si="4"/>
        <v>1</v>
      </c>
      <c r="AC34" s="1352">
        <f t="shared" si="5"/>
        <v>1</v>
      </c>
    </row>
    <row r="35" spans="1:29" ht="15">
      <c r="A35" s="423"/>
      <c r="B35" s="375" t="s">
        <v>1785</v>
      </c>
      <c r="C35" s="1905" t="s">
        <v>3454</v>
      </c>
      <c r="D35" s="386">
        <v>100</v>
      </c>
      <c r="E35" s="1905" t="s">
        <v>3454</v>
      </c>
      <c r="F35" s="412">
        <f>SUMIF(107:107,E35,108:108)-SUMIF(107:107,C35,108:108)+100</f>
        <v>100</v>
      </c>
      <c r="G35" s="1905" t="s">
        <v>3454</v>
      </c>
      <c r="H35" s="386">
        <f>SUMIF(107:107,G35,108:108)-SUMIF(107:107,C35,108:108)+100</f>
        <v>100</v>
      </c>
      <c r="I35" s="1905" t="s">
        <v>3454</v>
      </c>
      <c r="J35" s="386">
        <f>SUMIF(107:107,I35,108:108)-SUMIF(107:107,C35,108:108)+100</f>
        <v>100</v>
      </c>
      <c r="K35" s="561">
        <v>1</v>
      </c>
      <c r="L35" s="2721"/>
      <c r="M35" s="2715"/>
      <c r="N35" s="2715"/>
      <c r="O35" s="2715"/>
      <c r="P35" s="3706"/>
      <c r="Q35" s="1351" t="str">
        <f t="shared" si="11"/>
        <v>公共部分装修</v>
      </c>
      <c r="R35" s="704" t="s">
        <v>14</v>
      </c>
      <c r="S35" s="705">
        <f t="shared" si="12"/>
        <v>100</v>
      </c>
      <c r="T35" s="704" t="s">
        <v>14</v>
      </c>
      <c r="U35" s="705">
        <f t="shared" si="13"/>
        <v>100</v>
      </c>
      <c r="V35" s="704" t="s">
        <v>14</v>
      </c>
      <c r="W35" s="705">
        <f t="shared" si="14"/>
        <v>100</v>
      </c>
      <c r="X35" s="1354"/>
      <c r="Y35" s="3708"/>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v>0.6</v>
      </c>
      <c r="F36" s="412">
        <f>LOOKUP(E36,110:110,111:111)-LOOKUP(C36,110:110,111:111)+100</f>
        <v>99</v>
      </c>
      <c r="G36" s="425">
        <v>0.75</v>
      </c>
      <c r="H36" s="412">
        <f>LOOKUP(G36,110:110,111:111)-LOOKUP(C36,110:110,111:111)+100</f>
        <v>100</v>
      </c>
      <c r="I36" s="425">
        <v>0.7</v>
      </c>
      <c r="J36" s="386">
        <f>LOOKUP(I36,110:110,111:111)-LOOKUP(C36,110:110,111:111)+100</f>
        <v>100</v>
      </c>
      <c r="K36" s="561">
        <v>1</v>
      </c>
      <c r="L36" s="2721"/>
      <c r="M36" s="2715"/>
      <c r="N36" s="2715"/>
      <c r="O36" s="2715"/>
      <c r="P36" s="3706"/>
      <c r="Q36" s="1351" t="str">
        <f t="shared" si="11"/>
        <v>成新度</v>
      </c>
      <c r="R36" s="704" t="s">
        <v>14</v>
      </c>
      <c r="S36" s="705">
        <f t="shared" si="12"/>
        <v>99</v>
      </c>
      <c r="T36" s="704" t="s">
        <v>14</v>
      </c>
      <c r="U36" s="705">
        <f t="shared" si="13"/>
        <v>100</v>
      </c>
      <c r="V36" s="704" t="s">
        <v>14</v>
      </c>
      <c r="W36" s="705">
        <f t="shared" si="14"/>
        <v>100</v>
      </c>
      <c r="X36" s="1354"/>
      <c r="Y36" s="3708"/>
      <c r="Z36" s="1355" t="str">
        <f t="shared" si="15"/>
        <v>成新度</v>
      </c>
      <c r="AA36" s="1352">
        <f t="shared" si="3"/>
        <v>1.0101010101010102</v>
      </c>
      <c r="AB36" s="1352">
        <f t="shared" si="4"/>
        <v>1</v>
      </c>
      <c r="AC36" s="1352">
        <f t="shared" si="5"/>
        <v>1</v>
      </c>
    </row>
    <row r="37" spans="1:29" s="108" customFormat="1" ht="15" hidden="1">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6"/>
      <c r="Q37" s="1342" t="str">
        <f t="shared" si="11"/>
        <v>市政基础设施</v>
      </c>
      <c r="R37" s="700" t="s">
        <v>14</v>
      </c>
      <c r="S37" s="701">
        <f t="shared" si="12"/>
        <v>100</v>
      </c>
      <c r="T37" s="700" t="s">
        <v>14</v>
      </c>
      <c r="U37" s="701">
        <f t="shared" si="13"/>
        <v>100</v>
      </c>
      <c r="V37" s="700" t="s">
        <v>14</v>
      </c>
      <c r="W37" s="701">
        <f t="shared" si="14"/>
        <v>100</v>
      </c>
      <c r="X37" s="702"/>
      <c r="Y37" s="3708"/>
      <c r="Z37" s="52" t="str">
        <f t="shared" si="15"/>
        <v>市政基础设施</v>
      </c>
      <c r="AA37" s="703">
        <f t="shared" si="3"/>
        <v>1</v>
      </c>
      <c r="AB37" s="703">
        <f t="shared" si="4"/>
        <v>1</v>
      </c>
      <c r="AC37" s="703">
        <f t="shared" si="5"/>
        <v>1</v>
      </c>
    </row>
    <row r="38" spans="1:29" ht="15">
      <c r="A38" s="423"/>
      <c r="B38" s="375" t="s">
        <v>1788</v>
      </c>
      <c r="C38" s="1905" t="s">
        <v>3496</v>
      </c>
      <c r="D38" s="386">
        <v>100</v>
      </c>
      <c r="E38" s="1905" t="s">
        <v>3494</v>
      </c>
      <c r="F38" s="412">
        <f>SUMIF(114:114,E38,115:115)-SUMIF(114:114,C38,115:115)+100</f>
        <v>102</v>
      </c>
      <c r="G38" s="1905" t="s">
        <v>3496</v>
      </c>
      <c r="H38" s="386">
        <f>SUMIF(114:114,G38,115:115)-SUMIF(114:114,C38,115:115)+100</f>
        <v>100</v>
      </c>
      <c r="I38" s="1905" t="s">
        <v>3494</v>
      </c>
      <c r="J38" s="386">
        <f>SUMIF(114:114,I38,115:115)-SUMIF(114:114,C38,115:115)+100</f>
        <v>102</v>
      </c>
      <c r="K38" s="561">
        <v>2</v>
      </c>
      <c r="L38" s="2721"/>
      <c r="M38" s="2715"/>
      <c r="N38" s="2715"/>
      <c r="O38" s="2715"/>
      <c r="P38" s="3706" t="s">
        <v>1696</v>
      </c>
      <c r="Q38" s="1351" t="str">
        <f t="shared" si="11"/>
        <v>业态</v>
      </c>
      <c r="R38" s="704" t="s">
        <v>14</v>
      </c>
      <c r="S38" s="705">
        <f t="shared" si="12"/>
        <v>102</v>
      </c>
      <c r="T38" s="704" t="s">
        <v>14</v>
      </c>
      <c r="U38" s="705">
        <f t="shared" si="13"/>
        <v>100</v>
      </c>
      <c r="V38" s="704" t="s">
        <v>14</v>
      </c>
      <c r="W38" s="705">
        <f t="shared" si="14"/>
        <v>102</v>
      </c>
      <c r="X38" s="1354"/>
      <c r="Y38" s="3708" t="s">
        <v>1696</v>
      </c>
      <c r="Z38" s="1355" t="str">
        <f t="shared" si="15"/>
        <v>业态</v>
      </c>
      <c r="AA38" s="1352">
        <f t="shared" si="3"/>
        <v>0.98039215686274506</v>
      </c>
      <c r="AB38" s="1352">
        <f t="shared" si="4"/>
        <v>1</v>
      </c>
      <c r="AC38" s="1352">
        <f t="shared" si="5"/>
        <v>0.98039215686274506</v>
      </c>
    </row>
    <row r="39" spans="1:29" ht="15">
      <c r="A39" s="423"/>
      <c r="B39" s="375" t="s">
        <v>1789</v>
      </c>
      <c r="C39" s="1905" t="s">
        <v>3465</v>
      </c>
      <c r="D39" s="386">
        <v>100</v>
      </c>
      <c r="E39" s="1905" t="s">
        <v>3465</v>
      </c>
      <c r="F39" s="412">
        <f>SUMIF(116:116,E39,117:117)-SUMIF(116:116,C39,117:117)+100</f>
        <v>100</v>
      </c>
      <c r="G39" s="1905" t="s">
        <v>3465</v>
      </c>
      <c r="H39" s="386">
        <f>SUMIF(116:116,G39,117:117)-SUMIF(116:116,C39,117:117)+100</f>
        <v>100</v>
      </c>
      <c r="I39" s="1905" t="s">
        <v>3465</v>
      </c>
      <c r="J39" s="386">
        <f>SUMIF(116:116,I39,117:117)-SUMIF(116:116,C39,117:117)+100</f>
        <v>100</v>
      </c>
      <c r="K39" s="561">
        <v>1</v>
      </c>
      <c r="L39" s="2721"/>
      <c r="M39" s="2715"/>
      <c r="N39" s="2715"/>
      <c r="O39" s="2715"/>
      <c r="P39" s="3706"/>
      <c r="Q39" s="1351" t="str">
        <f t="shared" si="11"/>
        <v>层高</v>
      </c>
      <c r="R39" s="704" t="s">
        <v>14</v>
      </c>
      <c r="S39" s="705">
        <f t="shared" si="12"/>
        <v>100</v>
      </c>
      <c r="T39" s="704" t="s">
        <v>14</v>
      </c>
      <c r="U39" s="705">
        <f t="shared" si="13"/>
        <v>100</v>
      </c>
      <c r="V39" s="704" t="s">
        <v>14</v>
      </c>
      <c r="W39" s="705">
        <f t="shared" si="14"/>
        <v>100</v>
      </c>
      <c r="X39" s="1354"/>
      <c r="Y39" s="3708"/>
      <c r="Z39" s="1355" t="str">
        <f t="shared" si="15"/>
        <v>层高</v>
      </c>
      <c r="AA39" s="1352">
        <f t="shared" si="3"/>
        <v>1</v>
      </c>
      <c r="AB39" s="1352">
        <f t="shared" si="4"/>
        <v>1</v>
      </c>
      <c r="AC39" s="1352">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6"/>
      <c r="Q40" s="1351" t="str">
        <f t="shared" si="11"/>
        <v>单套建筑面积</v>
      </c>
      <c r="R40" s="704" t="s">
        <v>14</v>
      </c>
      <c r="S40" s="705">
        <f t="shared" si="12"/>
        <v>100</v>
      </c>
      <c r="T40" s="704" t="s">
        <v>14</v>
      </c>
      <c r="U40" s="705">
        <f t="shared" si="13"/>
        <v>100</v>
      </c>
      <c r="V40" s="704" t="s">
        <v>14</v>
      </c>
      <c r="W40" s="705">
        <f t="shared" si="14"/>
        <v>100</v>
      </c>
      <c r="X40" s="1354"/>
      <c r="Y40" s="3708"/>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1352">
        <f t="shared" si="3"/>
        <v>1</v>
      </c>
      <c r="AB41" s="1352">
        <f t="shared" si="4"/>
        <v>1</v>
      </c>
      <c r="AC41" s="1352">
        <f t="shared" si="5"/>
        <v>1</v>
      </c>
    </row>
    <row r="42" spans="1:29" ht="15">
      <c r="A42" s="423"/>
      <c r="B42" s="375" t="s">
        <v>1792</v>
      </c>
      <c r="C42" s="1905" t="s">
        <v>3454</v>
      </c>
      <c r="D42" s="386">
        <v>100</v>
      </c>
      <c r="E42" s="1905" t="s">
        <v>3454</v>
      </c>
      <c r="F42" s="412">
        <f>SUMIF(122:122,E42,123:123)-SUMIF(122:122,C42,123:123)+100</f>
        <v>100</v>
      </c>
      <c r="G42" s="1905" t="s">
        <v>3454</v>
      </c>
      <c r="H42" s="386">
        <f>SUMIF(122:122,G42,123:123)-SUMIF(122:122,C42,123:123)+100</f>
        <v>100</v>
      </c>
      <c r="I42" s="1905" t="s">
        <v>3454</v>
      </c>
      <c r="J42" s="386">
        <f>SUMIF(122:122,I42,123:123)-SUMIF(122:122,C42,123:123)+100</f>
        <v>100</v>
      </c>
      <c r="K42" s="561">
        <v>1</v>
      </c>
      <c r="L42" s="2721"/>
      <c r="M42" s="2715"/>
      <c r="N42" s="2715"/>
      <c r="O42" s="2715"/>
      <c r="P42" s="3706"/>
      <c r="Q42" s="1351" t="str">
        <f t="shared" si="11"/>
        <v>内部装修</v>
      </c>
      <c r="R42" s="704" t="s">
        <v>14</v>
      </c>
      <c r="S42" s="705">
        <f t="shared" si="12"/>
        <v>100</v>
      </c>
      <c r="T42" s="704" t="s">
        <v>14</v>
      </c>
      <c r="U42" s="705">
        <f t="shared" si="13"/>
        <v>100</v>
      </c>
      <c r="V42" s="704" t="s">
        <v>14</v>
      </c>
      <c r="W42" s="705">
        <f t="shared" si="14"/>
        <v>100</v>
      </c>
      <c r="X42" s="1354"/>
      <c r="Y42" s="370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6"/>
      <c r="Q43" s="1351" t="str">
        <f t="shared" si="11"/>
        <v>内部装修维护情况</v>
      </c>
      <c r="R43" s="704" t="s">
        <v>14</v>
      </c>
      <c r="S43" s="705">
        <f t="shared" si="12"/>
        <v>100</v>
      </c>
      <c r="T43" s="704" t="s">
        <v>14</v>
      </c>
      <c r="U43" s="705">
        <f t="shared" si="13"/>
        <v>100</v>
      </c>
      <c r="V43" s="704" t="s">
        <v>14</v>
      </c>
      <c r="W43" s="705">
        <f t="shared" si="14"/>
        <v>100</v>
      </c>
      <c r="X43" s="1354"/>
      <c r="Y43" s="3708"/>
      <c r="Z43" s="1355" t="str">
        <f t="shared" si="15"/>
        <v>内部装修维护情况</v>
      </c>
      <c r="AA43" s="1352">
        <f t="shared" si="3"/>
        <v>1</v>
      </c>
      <c r="AB43" s="1352">
        <f t="shared" si="4"/>
        <v>1</v>
      </c>
      <c r="AC43" s="1352">
        <f t="shared" si="5"/>
        <v>1</v>
      </c>
    </row>
    <row r="44" spans="1:29" s="108" customFormat="1" ht="15">
      <c r="A44" s="424"/>
      <c r="B44" s="3465" t="s">
        <v>3487</v>
      </c>
      <c r="C44" s="420">
        <v>2009</v>
      </c>
      <c r="D44" s="127">
        <v>100</v>
      </c>
      <c r="E44" s="385" t="s">
        <v>3488</v>
      </c>
      <c r="F44" s="376">
        <f>SUMIF(126:126,E44,127:127)-SUMIF(126:126,C44,127:127)+100</f>
        <v>100</v>
      </c>
      <c r="G44" s="385" t="s">
        <v>3490</v>
      </c>
      <c r="H44" s="127">
        <f>SUMIF(126:126,G44,127:127)-SUMIF(126:126,C44,127:127)+100</f>
        <v>100</v>
      </c>
      <c r="I44" s="385" t="s">
        <v>3493</v>
      </c>
      <c r="J44" s="127">
        <f>SUMIF(126:126,I44,127:127)-SUMIF(126:126,C44,127:127)+100</f>
        <v>100</v>
      </c>
      <c r="K44" s="562"/>
      <c r="L44" s="2716"/>
      <c r="M44" s="2717"/>
      <c r="N44" s="2717"/>
      <c r="O44" s="2717"/>
      <c r="P44" s="3706"/>
      <c r="Q44" s="1342" t="str">
        <f t="shared" si="11"/>
        <v>建成年代</v>
      </c>
      <c r="R44" s="700" t="s">
        <v>14</v>
      </c>
      <c r="S44" s="701">
        <f t="shared" si="12"/>
        <v>100</v>
      </c>
      <c r="T44" s="700" t="s">
        <v>14</v>
      </c>
      <c r="U44" s="701">
        <f t="shared" si="13"/>
        <v>100</v>
      </c>
      <c r="V44" s="700" t="s">
        <v>14</v>
      </c>
      <c r="W44" s="701">
        <f t="shared" si="14"/>
        <v>100</v>
      </c>
      <c r="X44" s="702"/>
      <c r="Y44" s="3708"/>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6"/>
      <c r="Q45" s="1351">
        <f t="shared" si="11"/>
        <v>111</v>
      </c>
      <c r="R45" s="704" t="s">
        <v>14</v>
      </c>
      <c r="S45" s="705">
        <f t="shared" si="12"/>
        <v>100</v>
      </c>
      <c r="T45" s="704" t="s">
        <v>14</v>
      </c>
      <c r="U45" s="705">
        <f t="shared" si="13"/>
        <v>100</v>
      </c>
      <c r="V45" s="704" t="s">
        <v>14</v>
      </c>
      <c r="W45" s="705">
        <f t="shared" si="14"/>
        <v>100</v>
      </c>
      <c r="X45" s="1354"/>
      <c r="Y45" s="370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352">
        <f t="shared" si="5"/>
        <v>1</v>
      </c>
    </row>
    <row r="47" spans="1:29" ht="15">
      <c r="A47" s="430" t="s">
        <v>1708</v>
      </c>
      <c r="B47" s="431"/>
      <c r="C47" s="1153" t="s">
        <v>0</v>
      </c>
      <c r="D47" s="1154"/>
      <c r="E47" s="1155">
        <v>12.47</v>
      </c>
      <c r="F47" s="1156"/>
      <c r="G47" s="1157">
        <v>14</v>
      </c>
      <c r="H47" s="1158"/>
      <c r="I47" s="1155">
        <v>14</v>
      </c>
      <c r="J47" s="1158"/>
      <c r="K47" s="713"/>
      <c r="L47" s="2723"/>
      <c r="M47" s="2724"/>
      <c r="N47" s="2715"/>
      <c r="O47" s="2724"/>
      <c r="P47" s="3701" t="str">
        <f>A47</f>
        <v>成交单价（元/平方米）</v>
      </c>
      <c r="Q47" s="3701"/>
      <c r="R47" s="3732">
        <f>E47</f>
        <v>12.47</v>
      </c>
      <c r="S47" s="3732"/>
      <c r="T47" s="3732">
        <f>G47</f>
        <v>14</v>
      </c>
      <c r="U47" s="3732"/>
      <c r="V47" s="3732">
        <f>I47</f>
        <v>14</v>
      </c>
      <c r="W47" s="3732"/>
      <c r="X47" s="689"/>
      <c r="Y47" s="711"/>
      <c r="Z47" s="689"/>
      <c r="AA47" s="689"/>
      <c r="AB47" s="689"/>
      <c r="AC47" s="689"/>
    </row>
    <row r="48" spans="1:29" ht="15.75" thickBot="1">
      <c r="A48" s="437" t="s">
        <v>1793</v>
      </c>
      <c r="B48" s="438"/>
      <c r="C48" s="1159">
        <f>R49</f>
        <v>13.2</v>
      </c>
      <c r="D48" s="2316" t="s">
        <v>2137</v>
      </c>
      <c r="E48" s="1160">
        <f>R48</f>
        <v>12.1</v>
      </c>
      <c r="F48" s="2317"/>
      <c r="G48" s="1159">
        <f>T48</f>
        <v>14</v>
      </c>
      <c r="H48" s="2317"/>
      <c r="I48" s="1160">
        <f>V48</f>
        <v>13.6</v>
      </c>
      <c r="J48" s="2317"/>
      <c r="K48" s="2319">
        <f>F48+H48+J48</f>
        <v>0</v>
      </c>
      <c r="L48" s="2723"/>
      <c r="M48" s="2724"/>
      <c r="N48" s="2715"/>
      <c r="O48" s="2724"/>
      <c r="P48" s="3701" t="str">
        <f>A48</f>
        <v>比较价值（元/平方米）</v>
      </c>
      <c r="Q48" s="3701"/>
      <c r="R48" s="3702">
        <f>IF(F1="售价",ROUND(PRODUCT(R47,AA7:AA46),0),ROUND(PRODUCT(R47,AA7:AA46),1))</f>
        <v>12.1</v>
      </c>
      <c r="S48" s="3702"/>
      <c r="T48" s="3702">
        <f>IF(F1="售价",ROUND(PRODUCT(T47,AB7:AB46),0),ROUND(PRODUCT(T47,AB7:AB46),1))</f>
        <v>14</v>
      </c>
      <c r="U48" s="3702"/>
      <c r="V48" s="3702">
        <f>IF(F1="售价",ROUND(PRODUCT(V47,AC7:AC46),0),ROUND(PRODUCT(V47,AC7:AC46),1))</f>
        <v>13.6</v>
      </c>
      <c r="W48" s="3702"/>
      <c r="X48" s="689"/>
      <c r="Y48" s="689"/>
      <c r="Z48" s="689"/>
      <c r="AA48" s="689"/>
      <c r="AB48" s="689"/>
      <c r="AC48" s="689"/>
    </row>
    <row r="49" spans="1:29" ht="15.75" thickBot="1">
      <c r="A49" s="441" t="s">
        <v>1794</v>
      </c>
      <c r="B49" s="442"/>
      <c r="C49" s="1162">
        <f>R49</f>
        <v>13.2</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13.2</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3.0578512396694402E-2</v>
      </c>
      <c r="F52" s="449" t="str">
        <f>IF(OR(E52&gt;=0.3,E52&lt;=-0.3),"超过30%","")</f>
        <v/>
      </c>
      <c r="G52" s="448">
        <f>IF(G47&lt;G48,G48/G47-1,G47/G48-1)</f>
        <v>0</v>
      </c>
      <c r="H52" s="449" t="str">
        <f>IF(OR(G52&gt;=0.3,G52&lt;=-0.3),"超过30%","")</f>
        <v/>
      </c>
      <c r="I52" s="448">
        <f>IF(I47&lt;I48,I48/I47-1,I47/I48-1)</f>
        <v>2.941176470588247E-2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0.1570247933884299</v>
      </c>
      <c r="F53" s="449" t="str">
        <f>IF(OR(E53&gt;=0.2,E53&lt;=-0.2),"超过20%","")</f>
        <v/>
      </c>
      <c r="G53" s="448">
        <f>IF(G48&lt;I48,I48/G48-1,G48/I48-1)</f>
        <v>2.941176470588247E-2</v>
      </c>
      <c r="H53" s="449" t="str">
        <f>IF(OR(G53&gt;=0.2,G53&lt;=-0.2),"超过20%","")</f>
        <v/>
      </c>
      <c r="I53" s="448">
        <f>IF(I48&lt;E48,E48/I48-1,I48/E48-1)</f>
        <v>0.12396694214876036</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0.12269446672012818</v>
      </c>
      <c r="F54" s="449" t="str">
        <f>IF(OR(E54&gt;=0.3,E54&lt;=-0.3),"超过30%","")</f>
        <v/>
      </c>
      <c r="G54" s="448">
        <f>IF(G47&lt;I47,I47/G47-1,G47/I47-1)</f>
        <v>0</v>
      </c>
      <c r="H54" s="449" t="str">
        <f>IF(OR(G54&gt;=0.3,G54&lt;=-0.3),"超过30%","")</f>
        <v/>
      </c>
      <c r="I54" s="448">
        <f>IF(I47&lt;E47,E47/I47-1,I47/E47-1)</f>
        <v>0.12269446672012818</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2024-9</v>
      </c>
      <c r="D58" s="1184">
        <f>EDATE(C58,-1)</f>
        <v>45505</v>
      </c>
      <c r="E58" s="1184">
        <f t="shared" ref="E58:N58" si="16">EDATE(D58,-1)</f>
        <v>45474</v>
      </c>
      <c r="F58" s="1184">
        <f t="shared" si="16"/>
        <v>45444</v>
      </c>
      <c r="G58" s="1184">
        <f t="shared" si="16"/>
        <v>45413</v>
      </c>
      <c r="H58" s="1184">
        <f t="shared" si="16"/>
        <v>45383</v>
      </c>
      <c r="I58" s="1184">
        <f t="shared" si="16"/>
        <v>45352</v>
      </c>
      <c r="J58" s="1184">
        <f t="shared" si="16"/>
        <v>45323</v>
      </c>
      <c r="K58" s="1184">
        <f t="shared" si="16"/>
        <v>45292</v>
      </c>
      <c r="L58" s="1184">
        <f t="shared" si="16"/>
        <v>45261</v>
      </c>
      <c r="M58" s="1184">
        <f t="shared" si="16"/>
        <v>45231</v>
      </c>
      <c r="N58" s="1184">
        <f t="shared" si="16"/>
        <v>45200</v>
      </c>
      <c r="O58" s="1184">
        <f>EDATE(N58,-1)</f>
        <v>45170</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8" t="s">
        <v>3434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9" t="s">
        <v>3435</v>
      </c>
      <c r="D86" s="3459" t="s">
        <v>3436</v>
      </c>
      <c r="E86" s="3459" t="s">
        <v>3438</v>
      </c>
      <c r="F86" s="3459" t="s">
        <v>3439</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3415</v>
      </c>
      <c r="D88" s="503" t="s">
        <v>3414</v>
      </c>
      <c r="E88" s="503" t="s">
        <v>3416</v>
      </c>
      <c r="F88" s="1926" t="s">
        <v>3417</v>
      </c>
      <c r="G88" s="503" t="s">
        <v>3440</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9" t="s">
        <v>3441</v>
      </c>
      <c r="D90" s="3459" t="s">
        <v>3443</v>
      </c>
      <c r="E90" s="3459" t="s">
        <v>3446</v>
      </c>
      <c r="F90" s="3459" t="s">
        <v>3444</v>
      </c>
      <c r="G90" s="3459" t="s">
        <v>3445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3447</v>
      </c>
      <c r="D92" s="503" t="s">
        <v>3448</v>
      </c>
      <c r="E92" s="503" t="s">
        <v>3449</v>
      </c>
      <c r="F92" s="503" t="s">
        <v>3478</v>
      </c>
      <c r="G92" s="503" t="s">
        <v>3479</v>
      </c>
      <c r="H92" s="503" t="s">
        <v>3450</v>
      </c>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f>'数据-取费表'!U23*100</f>
        <v>70</v>
      </c>
      <c r="E93" s="485">
        <f>'数据-取费表'!U24*100</f>
        <v>60</v>
      </c>
      <c r="F93" s="485">
        <f>'数据-取费表'!U25*100</f>
        <v>50</v>
      </c>
      <c r="G93" s="485">
        <f>'数据-取费表'!U26*100</f>
        <v>50</v>
      </c>
      <c r="H93" s="485">
        <f>ROUND((C93+D93)/2,0)</f>
        <v>85</v>
      </c>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0" t="s">
        <v>3452</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100(含)-300</v>
      </c>
      <c r="E102" s="527" t="str">
        <f t="shared" si="24"/>
        <v>300(含)-500</v>
      </c>
      <c r="F102" s="527" t="str">
        <f t="shared" si="24"/>
        <v>500(含)-700</v>
      </c>
      <c r="G102" s="527" t="str">
        <f t="shared" si="24"/>
        <v>700(含)-</v>
      </c>
      <c r="H102" s="527" t="str">
        <f t="shared" si="24"/>
        <v>(含)-</v>
      </c>
      <c r="I102" s="527" t="str">
        <f t="shared" si="24"/>
        <v>(含)-</v>
      </c>
      <c r="J102" s="527" t="str">
        <f t="shared" si="24"/>
        <v>(含)-</v>
      </c>
      <c r="K102" s="527" t="str">
        <f t="shared" si="24"/>
        <v>(含)-</v>
      </c>
      <c r="L102" s="527" t="str">
        <f t="shared" si="24"/>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700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9" t="s">
        <v>3453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9" t="s">
        <v>3455</v>
      </c>
      <c r="D107" s="3459" t="s">
        <v>3456</v>
      </c>
      <c r="E107" s="3459" t="s">
        <v>3457</v>
      </c>
      <c r="F107" s="3461" t="s">
        <v>3458</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9" t="s">
        <v>3460</v>
      </c>
      <c r="D112" s="3459" t="s">
        <v>3461</v>
      </c>
      <c r="E112" s="3459" t="s">
        <v>3462</v>
      </c>
      <c r="F112" s="3459" t="s">
        <v>3463</v>
      </c>
      <c r="G112" s="3459" t="s">
        <v>3464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9" t="s">
        <v>3495</v>
      </c>
      <c r="D114" s="3459" t="s">
        <v>3497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9" t="s">
        <v>3466</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9" t="s">
        <v>3455</v>
      </c>
      <c r="D122" s="3459" t="s">
        <v>3456</v>
      </c>
      <c r="E122" s="3459" t="s">
        <v>3457</v>
      </c>
      <c r="F122" s="3461" t="s">
        <v>3458</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t="str">
        <f>B44</f>
        <v>建成年代</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930.34999999999991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53" t="s">
        <v>1775</v>
      </c>
      <c r="Q4" s="3754"/>
      <c r="R4" s="3757" t="s">
        <v>1771</v>
      </c>
      <c r="S4" s="3758"/>
      <c r="T4" s="3757" t="s">
        <v>1772</v>
      </c>
      <c r="U4" s="3758"/>
      <c r="V4" s="3759" t="s">
        <v>1773</v>
      </c>
      <c r="W4" s="3759"/>
      <c r="X4" s="1957"/>
      <c r="Y4" s="3757" t="s">
        <v>1775</v>
      </c>
      <c r="Z4" s="3758"/>
      <c r="AA4" s="3761" t="s">
        <v>1771</v>
      </c>
      <c r="AB4" s="3761" t="s">
        <v>1772</v>
      </c>
      <c r="AC4" s="3750" t="s">
        <v>1773</v>
      </c>
    </row>
    <row r="5" spans="1:29" ht="15">
      <c r="A5" s="358"/>
      <c r="B5" s="359"/>
      <c r="C5" s="3735" t="s">
        <v>1673</v>
      </c>
      <c r="D5" s="3736"/>
      <c r="E5" s="3742" t="s">
        <v>1674</v>
      </c>
      <c r="F5" s="3743"/>
      <c r="G5" s="3735" t="s">
        <v>1675</v>
      </c>
      <c r="H5" s="3736"/>
      <c r="I5" s="3735" t="s">
        <v>1676</v>
      </c>
      <c r="J5" s="3736"/>
      <c r="K5" s="559"/>
      <c r="L5" s="2714"/>
      <c r="M5" s="2715"/>
      <c r="N5" s="2715"/>
      <c r="O5" s="2715"/>
      <c r="P5" s="3755"/>
      <c r="Q5" s="3723"/>
      <c r="R5" s="3728"/>
      <c r="S5" s="3729"/>
      <c r="T5" s="3728"/>
      <c r="U5" s="3729"/>
      <c r="V5" s="3732"/>
      <c r="W5" s="3732"/>
      <c r="X5" s="1354"/>
      <c r="Y5" s="3728"/>
      <c r="Z5" s="3729"/>
      <c r="AA5" s="3714"/>
      <c r="AB5" s="3714"/>
      <c r="AC5" s="3751"/>
    </row>
    <row r="6" spans="1:29" ht="15.75" thickBot="1">
      <c r="A6" s="360"/>
      <c r="B6" s="361"/>
      <c r="C6" s="3733" t="s">
        <v>1677</v>
      </c>
      <c r="D6" s="3734"/>
      <c r="E6" s="3740" t="s">
        <v>1677</v>
      </c>
      <c r="F6" s="3741"/>
      <c r="G6" s="3733" t="s">
        <v>1677</v>
      </c>
      <c r="H6" s="3734"/>
      <c r="I6" s="3733" t="s">
        <v>1677</v>
      </c>
      <c r="J6" s="3734"/>
      <c r="K6" s="559" t="s">
        <v>1678</v>
      </c>
      <c r="L6" s="2714"/>
      <c r="M6" s="2715"/>
      <c r="N6" s="2715"/>
      <c r="O6" s="2715"/>
      <c r="P6" s="3756"/>
      <c r="Q6" s="3725"/>
      <c r="R6" s="3728"/>
      <c r="S6" s="3729"/>
      <c r="T6" s="3730"/>
      <c r="U6" s="3731"/>
      <c r="V6" s="3732"/>
      <c r="W6" s="3732"/>
      <c r="X6" s="1354"/>
      <c r="Y6" s="3730"/>
      <c r="Z6" s="3731"/>
      <c r="AA6" s="3715"/>
      <c r="AB6" s="3715"/>
      <c r="AC6" s="3752"/>
    </row>
    <row r="7" spans="1:29" s="108" customFormat="1" ht="15.75" thickBot="1">
      <c r="A7" s="362" t="s">
        <v>1679</v>
      </c>
      <c r="B7" s="363"/>
      <c r="C7" s="364">
        <f>'数据-取费表'!B2</f>
        <v>45554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0"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0" t="s">
        <v>1683</v>
      </c>
      <c r="Q8" s="3738"/>
      <c r="R8" s="700" t="s">
        <v>14</v>
      </c>
      <c r="S8" s="701">
        <f t="shared" si="0"/>
        <v>100</v>
      </c>
      <c r="T8" s="700" t="s">
        <v>14</v>
      </c>
      <c r="U8" s="701">
        <f t="shared" si="1"/>
        <v>100</v>
      </c>
      <c r="V8" s="700" t="s">
        <v>14</v>
      </c>
      <c r="W8" s="701">
        <f t="shared" si="2"/>
        <v>100</v>
      </c>
      <c r="X8" s="702"/>
      <c r="Y8" s="3737" t="s">
        <v>1683</v>
      </c>
      <c r="Z8" s="373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2"/>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12"/>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0" t="s">
        <v>1691</v>
      </c>
      <c r="Q15" s="1351" t="str">
        <f t="shared" si="6"/>
        <v>办公集聚程度</v>
      </c>
      <c r="R15" s="704" t="s">
        <v>14</v>
      </c>
      <c r="S15" s="705">
        <f t="shared" si="0"/>
        <v>100</v>
      </c>
      <c r="T15" s="704" t="s">
        <v>14</v>
      </c>
      <c r="U15" s="705">
        <f t="shared" si="1"/>
        <v>100</v>
      </c>
      <c r="V15" s="704" t="s">
        <v>14</v>
      </c>
      <c r="W15" s="705">
        <f t="shared" si="2"/>
        <v>100</v>
      </c>
      <c r="X15" s="1354"/>
      <c r="Y15" s="370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1"/>
      <c r="Q16" s="1351"/>
      <c r="R16" s="704"/>
      <c r="S16" s="705"/>
      <c r="T16" s="704"/>
      <c r="U16" s="705"/>
      <c r="V16" s="704"/>
      <c r="W16" s="705"/>
      <c r="X16" s="1354"/>
      <c r="Y16" s="370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1"/>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1"/>
      <c r="Q18" s="1351"/>
      <c r="R18" s="704"/>
      <c r="S18" s="705"/>
      <c r="T18" s="704"/>
      <c r="U18" s="705"/>
      <c r="V18" s="704"/>
      <c r="W18" s="705"/>
      <c r="X18" s="1354"/>
      <c r="Y18" s="370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1"/>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1"/>
      <c r="Q20" s="1351"/>
      <c r="R20" s="704"/>
      <c r="S20" s="705"/>
      <c r="T20" s="704"/>
      <c r="U20" s="705"/>
      <c r="V20" s="704"/>
      <c r="W20" s="705"/>
      <c r="X20" s="1354"/>
      <c r="Y20" s="370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1"/>
      <c r="Q22" s="1351"/>
      <c r="R22" s="704"/>
      <c r="S22" s="705"/>
      <c r="T22" s="704"/>
      <c r="U22" s="705"/>
      <c r="V22" s="704"/>
      <c r="W22" s="705"/>
      <c r="X22" s="1354"/>
      <c r="Y22" s="370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1"/>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1"/>
      <c r="Q24" s="1351"/>
      <c r="R24" s="704"/>
      <c r="S24" s="705"/>
      <c r="T24" s="704"/>
      <c r="U24" s="705"/>
      <c r="V24" s="704"/>
      <c r="W24" s="705"/>
      <c r="X24" s="1354"/>
      <c r="Y24" s="370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1"/>
      <c r="Q25" s="1351" t="str">
        <f>B25</f>
        <v>毗邻道路的类型与等级</v>
      </c>
      <c r="R25" s="704" t="s">
        <v>14</v>
      </c>
      <c r="S25" s="705">
        <f>F25</f>
        <v>100</v>
      </c>
      <c r="T25" s="704" t="s">
        <v>14</v>
      </c>
      <c r="U25" s="705">
        <f>H25</f>
        <v>100</v>
      </c>
      <c r="V25" s="704" t="s">
        <v>14</v>
      </c>
      <c r="W25" s="705">
        <f>J25</f>
        <v>100</v>
      </c>
      <c r="X25" s="1354"/>
      <c r="Y25" s="370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1"/>
      <c r="Q26" s="1351"/>
      <c r="R26" s="704"/>
      <c r="S26" s="705"/>
      <c r="T26" s="704"/>
      <c r="U26" s="705"/>
      <c r="V26" s="704"/>
      <c r="W26" s="705"/>
      <c r="X26" s="1354"/>
      <c r="Y26" s="370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1"/>
      <c r="Q27" s="1351" t="str">
        <f t="shared" ref="Q27:Q47" si="11">B27</f>
        <v>楼层</v>
      </c>
      <c r="R27" s="704" t="s">
        <v>14</v>
      </c>
      <c r="S27" s="705">
        <f>F27</f>
        <v>100</v>
      </c>
      <c r="T27" s="704" t="s">
        <v>14</v>
      </c>
      <c r="U27" s="705">
        <f>H27</f>
        <v>100</v>
      </c>
      <c r="V27" s="704" t="s">
        <v>14</v>
      </c>
      <c r="W27" s="705">
        <f>J27</f>
        <v>100</v>
      </c>
      <c r="X27" s="1354"/>
      <c r="Y27" s="370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1"/>
      <c r="Q28" s="1342" t="str">
        <f t="shared" si="11"/>
        <v>朝向</v>
      </c>
      <c r="R28" s="700" t="s">
        <v>14</v>
      </c>
      <c r="S28" s="701">
        <f>F28</f>
        <v>100</v>
      </c>
      <c r="T28" s="700" t="s">
        <v>14</v>
      </c>
      <c r="U28" s="701">
        <f>H28</f>
        <v>100</v>
      </c>
      <c r="V28" s="700" t="s">
        <v>14</v>
      </c>
      <c r="W28" s="701">
        <f>J28</f>
        <v>100</v>
      </c>
      <c r="X28" s="702"/>
      <c r="Y28" s="370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1"/>
      <c r="Q29" s="1351">
        <f t="shared" si="11"/>
        <v>111</v>
      </c>
      <c r="R29" s="704" t="s">
        <v>14</v>
      </c>
      <c r="S29" s="705">
        <f t="shared" ref="S29:S47" si="12">F29</f>
        <v>100</v>
      </c>
      <c r="T29" s="704" t="s">
        <v>14</v>
      </c>
      <c r="U29" s="705">
        <f t="shared" ref="U29:U47" si="13">H29</f>
        <v>100</v>
      </c>
      <c r="V29" s="704" t="s">
        <v>14</v>
      </c>
      <c r="W29" s="705">
        <f t="shared" ref="W29:W47" si="14">J29</f>
        <v>100</v>
      </c>
      <c r="X29" s="1354"/>
      <c r="Y29" s="370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1"/>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1"/>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1"/>
      <c r="Q32" s="1351">
        <f t="shared" si="11"/>
        <v>111</v>
      </c>
      <c r="R32" s="704" t="s">
        <v>14</v>
      </c>
      <c r="S32" s="705">
        <f t="shared" si="12"/>
        <v>100</v>
      </c>
      <c r="T32" s="704" t="s">
        <v>14</v>
      </c>
      <c r="U32" s="705">
        <f t="shared" si="13"/>
        <v>100</v>
      </c>
      <c r="V32" s="704" t="s">
        <v>14</v>
      </c>
      <c r="W32" s="705">
        <f t="shared" si="14"/>
        <v>100</v>
      </c>
      <c r="X32" s="1354"/>
      <c r="Y32" s="370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5" t="s">
        <v>1696</v>
      </c>
      <c r="Q33" s="1351" t="str">
        <f t="shared" si="11"/>
        <v>建筑类型</v>
      </c>
      <c r="R33" s="704" t="s">
        <v>14</v>
      </c>
      <c r="S33" s="705">
        <f t="shared" si="12"/>
        <v>100</v>
      </c>
      <c r="T33" s="704" t="s">
        <v>14</v>
      </c>
      <c r="U33" s="705">
        <f t="shared" si="13"/>
        <v>100</v>
      </c>
      <c r="V33" s="704" t="s">
        <v>14</v>
      </c>
      <c r="W33" s="705">
        <f t="shared" si="14"/>
        <v>100</v>
      </c>
      <c r="X33" s="1354"/>
      <c r="Y33" s="370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6"/>
      <c r="Q34" s="706" t="str">
        <f t="shared" si="11"/>
        <v>项目建筑规模</v>
      </c>
      <c r="R34" s="707" t="s">
        <v>14</v>
      </c>
      <c r="S34" s="708" t="e">
        <f t="shared" si="12"/>
        <v>#N/A</v>
      </c>
      <c r="T34" s="707" t="s">
        <v>14</v>
      </c>
      <c r="U34" s="708" t="e">
        <f t="shared" si="13"/>
        <v>#N/A</v>
      </c>
      <c r="V34" s="707" t="s">
        <v>14</v>
      </c>
      <c r="W34" s="708" t="e">
        <f t="shared" si="14"/>
        <v>#N/A</v>
      </c>
      <c r="X34" s="709"/>
      <c r="Y34" s="370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6"/>
      <c r="Q35" s="1351" t="str">
        <f t="shared" si="11"/>
        <v>建筑结构</v>
      </c>
      <c r="R35" s="704" t="s">
        <v>14</v>
      </c>
      <c r="S35" s="705">
        <f t="shared" si="12"/>
        <v>100</v>
      </c>
      <c r="T35" s="704" t="s">
        <v>14</v>
      </c>
      <c r="U35" s="705">
        <f t="shared" si="13"/>
        <v>100</v>
      </c>
      <c r="V35" s="704" t="s">
        <v>14</v>
      </c>
      <c r="W35" s="705">
        <f t="shared" si="14"/>
        <v>100</v>
      </c>
      <c r="X35" s="1354"/>
      <c r="Y35" s="370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6"/>
      <c r="Q36" s="1351" t="str">
        <f t="shared" si="11"/>
        <v>公共部分装修</v>
      </c>
      <c r="R36" s="704" t="s">
        <v>14</v>
      </c>
      <c r="S36" s="705">
        <f t="shared" si="12"/>
        <v>100</v>
      </c>
      <c r="T36" s="704" t="s">
        <v>14</v>
      </c>
      <c r="U36" s="705">
        <f t="shared" si="13"/>
        <v>100</v>
      </c>
      <c r="V36" s="704" t="s">
        <v>14</v>
      </c>
      <c r="W36" s="705">
        <f t="shared" si="14"/>
        <v>100</v>
      </c>
      <c r="X36" s="1354"/>
      <c r="Y36" s="370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6"/>
      <c r="Q37" s="1351" t="str">
        <f t="shared" si="11"/>
        <v>成新度</v>
      </c>
      <c r="R37" s="704" t="s">
        <v>14</v>
      </c>
      <c r="S37" s="705" t="e">
        <f t="shared" si="12"/>
        <v>#N/A</v>
      </c>
      <c r="T37" s="704" t="s">
        <v>14</v>
      </c>
      <c r="U37" s="705" t="e">
        <f t="shared" si="13"/>
        <v>#N/A</v>
      </c>
      <c r="V37" s="704" t="s">
        <v>14</v>
      </c>
      <c r="W37" s="705" t="e">
        <f t="shared" si="14"/>
        <v>#N/A</v>
      </c>
      <c r="X37" s="1354"/>
      <c r="Y37" s="370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6"/>
      <c r="Q38" s="1342" t="str">
        <f t="shared" si="11"/>
        <v>写字楼等级</v>
      </c>
      <c r="R38" s="700" t="s">
        <v>14</v>
      </c>
      <c r="S38" s="701">
        <f t="shared" si="12"/>
        <v>100</v>
      </c>
      <c r="T38" s="700" t="s">
        <v>14</v>
      </c>
      <c r="U38" s="701">
        <f t="shared" si="13"/>
        <v>100</v>
      </c>
      <c r="V38" s="700" t="s">
        <v>14</v>
      </c>
      <c r="W38" s="701">
        <f t="shared" si="14"/>
        <v>100</v>
      </c>
      <c r="X38" s="702"/>
      <c r="Y38" s="370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6" t="s">
        <v>1696</v>
      </c>
      <c r="Q39" s="1351" t="str">
        <f t="shared" si="11"/>
        <v>物业管理</v>
      </c>
      <c r="R39" s="704" t="s">
        <v>14</v>
      </c>
      <c r="S39" s="705">
        <f t="shared" si="12"/>
        <v>100</v>
      </c>
      <c r="T39" s="704" t="s">
        <v>14</v>
      </c>
      <c r="U39" s="705">
        <f t="shared" si="13"/>
        <v>100</v>
      </c>
      <c r="V39" s="704" t="s">
        <v>14</v>
      </c>
      <c r="W39" s="705">
        <f t="shared" si="14"/>
        <v>100</v>
      </c>
      <c r="X39" s="1354"/>
      <c r="Y39" s="370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6"/>
      <c r="Q40" s="1351" t="str">
        <f t="shared" si="11"/>
        <v>市政基础设施</v>
      </c>
      <c r="R40" s="704" t="s">
        <v>14</v>
      </c>
      <c r="S40" s="705">
        <f t="shared" si="12"/>
        <v>100</v>
      </c>
      <c r="T40" s="704" t="s">
        <v>14</v>
      </c>
      <c r="U40" s="705">
        <f t="shared" si="13"/>
        <v>100</v>
      </c>
      <c r="V40" s="704" t="s">
        <v>14</v>
      </c>
      <c r="W40" s="705">
        <f t="shared" si="14"/>
        <v>100</v>
      </c>
      <c r="X40" s="1354"/>
      <c r="Y40" s="370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6"/>
      <c r="Q41" s="1351" t="str">
        <f t="shared" si="11"/>
        <v>层高</v>
      </c>
      <c r="R41" s="704" t="s">
        <v>14</v>
      </c>
      <c r="S41" s="705">
        <f t="shared" si="12"/>
        <v>100</v>
      </c>
      <c r="T41" s="704" t="s">
        <v>14</v>
      </c>
      <c r="U41" s="705">
        <f t="shared" si="13"/>
        <v>100</v>
      </c>
      <c r="V41" s="704" t="s">
        <v>14</v>
      </c>
      <c r="W41" s="705">
        <f t="shared" si="14"/>
        <v>100</v>
      </c>
      <c r="X41" s="1354"/>
      <c r="Y41" s="370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6"/>
      <c r="Q43" s="1351" t="str">
        <f t="shared" si="11"/>
        <v>内部装修</v>
      </c>
      <c r="R43" s="704" t="s">
        <v>14</v>
      </c>
      <c r="S43" s="705">
        <f t="shared" si="12"/>
        <v>100</v>
      </c>
      <c r="T43" s="704" t="s">
        <v>14</v>
      </c>
      <c r="U43" s="705">
        <f t="shared" si="13"/>
        <v>100</v>
      </c>
      <c r="V43" s="704" t="s">
        <v>14</v>
      </c>
      <c r="W43" s="705">
        <f t="shared" si="14"/>
        <v>100</v>
      </c>
      <c r="X43" s="1354"/>
      <c r="Y43" s="370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6"/>
      <c r="Q44" s="1351" t="str">
        <f t="shared" si="11"/>
        <v>内部装修维护情况</v>
      </c>
      <c r="R44" s="704" t="s">
        <v>14</v>
      </c>
      <c r="S44" s="705">
        <f t="shared" si="12"/>
        <v>100</v>
      </c>
      <c r="T44" s="704" t="s">
        <v>14</v>
      </c>
      <c r="U44" s="705">
        <f t="shared" si="13"/>
        <v>100</v>
      </c>
      <c r="V44" s="704" t="s">
        <v>14</v>
      </c>
      <c r="W44" s="705">
        <f t="shared" si="14"/>
        <v>100</v>
      </c>
      <c r="X44" s="1354"/>
      <c r="Y44" s="370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6"/>
      <c r="Q45" s="1342">
        <f t="shared" si="11"/>
        <v>111</v>
      </c>
      <c r="R45" s="700" t="s">
        <v>14</v>
      </c>
      <c r="S45" s="701">
        <f t="shared" si="12"/>
        <v>100</v>
      </c>
      <c r="T45" s="700" t="s">
        <v>14</v>
      </c>
      <c r="U45" s="701">
        <f t="shared" si="13"/>
        <v>100</v>
      </c>
      <c r="V45" s="700" t="s">
        <v>14</v>
      </c>
      <c r="W45" s="701">
        <f t="shared" si="14"/>
        <v>100</v>
      </c>
      <c r="X45" s="702"/>
      <c r="Y45" s="370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7"/>
      <c r="Q47" s="1351">
        <f t="shared" si="11"/>
        <v>111</v>
      </c>
      <c r="R47" s="704" t="s">
        <v>14</v>
      </c>
      <c r="S47" s="705">
        <f t="shared" si="12"/>
        <v>100</v>
      </c>
      <c r="T47" s="704" t="s">
        <v>14</v>
      </c>
      <c r="U47" s="705">
        <f t="shared" si="13"/>
        <v>100</v>
      </c>
      <c r="V47" s="704" t="s">
        <v>14</v>
      </c>
      <c r="W47" s="705">
        <f t="shared" si="14"/>
        <v>100</v>
      </c>
      <c r="X47" s="1354"/>
      <c r="Y47" s="370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12" t="str">
        <f>A48</f>
        <v>成交单价（元/平方米）</v>
      </c>
      <c r="Q48" s="3701"/>
      <c r="R48" s="3702">
        <f>E48</f>
        <v>0</v>
      </c>
      <c r="S48" s="3702"/>
      <c r="T48" s="3702">
        <f>G48</f>
        <v>0</v>
      </c>
      <c r="U48" s="3702"/>
      <c r="V48" s="3702">
        <f>I48</f>
        <v>0</v>
      </c>
      <c r="W48" s="3702"/>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712"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2024-9</v>
      </c>
      <c r="D59" s="1184">
        <f>EDATE(C59,-1)</f>
        <v>45505</v>
      </c>
      <c r="E59" s="1184">
        <f>EDATE(D59,-1)</f>
        <v>45474</v>
      </c>
      <c r="F59" s="1184">
        <f t="shared" ref="F59:O59" si="16">EDATE(E59,-1)</f>
        <v>45444</v>
      </c>
      <c r="G59" s="1184">
        <f t="shared" si="16"/>
        <v>45413</v>
      </c>
      <c r="H59" s="1184">
        <f t="shared" si="16"/>
        <v>45383</v>
      </c>
      <c r="I59" s="1184">
        <f t="shared" si="16"/>
        <v>45352</v>
      </c>
      <c r="J59" s="1184">
        <f t="shared" si="16"/>
        <v>45323</v>
      </c>
      <c r="K59" s="1184">
        <f t="shared" si="16"/>
        <v>45292</v>
      </c>
      <c r="L59" s="1184">
        <f t="shared" si="16"/>
        <v>45261</v>
      </c>
      <c r="M59" s="1184">
        <f t="shared" si="16"/>
        <v>45231</v>
      </c>
      <c r="N59" s="1184">
        <f t="shared" si="16"/>
        <v>45200</v>
      </c>
      <c r="O59" s="1184">
        <f t="shared" si="16"/>
        <v>45170</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受贵公司委托，我公司对北京市西城区冰窖口胡同1号院4号楼商业用房房地产抵押价值进行了预评估。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估价对象为北京市西城区冰窖口胡同1号院4号楼商业用房房地产，为所有。根据《国有土地使用证》[]，估价对象（分摊）出让国有建设用地使用权面积为0平方米，建筑面积为930.35平方米。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冰窖口胡同1号院4号楼商业用房房地产,属开发建设的，该项目尚在开发建设中。根据《国有土地使用证》[]，估价对象（分摊）出让国有建设用地使用权面积为0平方米，规划建筑面积为930.35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西城区冰窖口胡同1号院4号楼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2024年9月19日（评估专业人员实地查勘之日）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930.34999999999991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912"/>
      <c r="M4" s="913"/>
      <c r="N4" s="913"/>
      <c r="O4" s="913"/>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912"/>
      <c r="M5" s="913"/>
      <c r="N5" s="913"/>
      <c r="O5" s="913"/>
      <c r="P5" s="3722"/>
      <c r="Q5" s="3723"/>
      <c r="R5" s="3728"/>
      <c r="S5" s="3729"/>
      <c r="T5" s="3728"/>
      <c r="U5" s="3729"/>
      <c r="V5" s="3732"/>
      <c r="W5" s="3732"/>
      <c r="X5" s="1354"/>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912"/>
      <c r="M6" s="913"/>
      <c r="N6" s="913"/>
      <c r="O6" s="913"/>
      <c r="P6" s="3724"/>
      <c r="Q6" s="3725"/>
      <c r="R6" s="3728"/>
      <c r="S6" s="3729"/>
      <c r="T6" s="3730"/>
      <c r="U6" s="3731"/>
      <c r="V6" s="3732"/>
      <c r="W6" s="3732"/>
      <c r="X6" s="1354"/>
      <c r="Y6" s="3730"/>
      <c r="Z6" s="3731"/>
      <c r="AA6" s="3715"/>
      <c r="AB6" s="3715"/>
      <c r="AC6" s="3715"/>
    </row>
    <row r="7" spans="1:29" s="108" customFormat="1" ht="15.75" thickBot="1">
      <c r="A7" s="362" t="s">
        <v>1679</v>
      </c>
      <c r="B7" s="363"/>
      <c r="C7" s="364">
        <f>'数据-取费表'!B2</f>
        <v>45554</v>
      </c>
      <c r="D7" s="365">
        <v>100</v>
      </c>
      <c r="E7" s="366"/>
      <c r="F7" s="367">
        <f>SUMIF(52:52,YEAR(E7)&amp;"-"&amp;MONTH(E7),53:53)</f>
        <v>0</v>
      </c>
      <c r="G7" s="366"/>
      <c r="H7" s="365">
        <f>SUMIF(52:52,YEAR(G7)&amp;"-"&amp;MONTH(G7),53:53)</f>
        <v>0</v>
      </c>
      <c r="I7" s="366"/>
      <c r="J7" s="365">
        <f>SUMIF(52:52,YEAR(I7)&amp;"-"&amp;MONTH(I7),53:53)</f>
        <v>0</v>
      </c>
      <c r="K7" s="560"/>
      <c r="L7" s="914"/>
      <c r="M7" s="915"/>
      <c r="N7" s="915"/>
      <c r="O7" s="915"/>
      <c r="P7" s="373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7" t="s">
        <v>1683</v>
      </c>
      <c r="Q8" s="3738"/>
      <c r="R8" s="700" t="s">
        <v>14</v>
      </c>
      <c r="S8" s="701">
        <f t="shared" si="0"/>
        <v>100</v>
      </c>
      <c r="T8" s="700" t="s">
        <v>14</v>
      </c>
      <c r="U8" s="701">
        <f t="shared" si="1"/>
        <v>100</v>
      </c>
      <c r="V8" s="700" t="s">
        <v>14</v>
      </c>
      <c r="W8" s="701">
        <f t="shared" si="2"/>
        <v>100</v>
      </c>
      <c r="X8" s="702"/>
      <c r="Y8" s="3737" t="s">
        <v>1683</v>
      </c>
      <c r="Z8" s="373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1"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4"/>
      <c r="Q16" s="1351"/>
      <c r="R16" s="704"/>
      <c r="S16" s="705"/>
      <c r="T16" s="704"/>
      <c r="U16" s="705"/>
      <c r="V16" s="704"/>
      <c r="W16" s="705"/>
      <c r="X16" s="1354"/>
      <c r="Y16" s="370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4"/>
      <c r="Q18" s="1351"/>
      <c r="R18" s="704"/>
      <c r="S18" s="705"/>
      <c r="T18" s="704"/>
      <c r="U18" s="705"/>
      <c r="V18" s="704"/>
      <c r="W18" s="705"/>
      <c r="X18" s="1354"/>
      <c r="Y18" s="370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4"/>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4"/>
      <c r="Q20" s="1351"/>
      <c r="R20" s="704"/>
      <c r="S20" s="705"/>
      <c r="T20" s="704"/>
      <c r="U20" s="705"/>
      <c r="V20" s="704"/>
      <c r="W20" s="705"/>
      <c r="X20" s="1354"/>
      <c r="Y20" s="370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4"/>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4"/>
      <c r="Q22" s="1351"/>
      <c r="R22" s="704"/>
      <c r="S22" s="705"/>
      <c r="T22" s="704"/>
      <c r="U22" s="705"/>
      <c r="V22" s="704"/>
      <c r="W22" s="705"/>
      <c r="X22" s="1354"/>
      <c r="Y22" s="370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4"/>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4"/>
      <c r="Q24" s="1351"/>
      <c r="R24" s="704"/>
      <c r="S24" s="705"/>
      <c r="T24" s="704"/>
      <c r="U24" s="705"/>
      <c r="V24" s="704"/>
      <c r="W24" s="705"/>
      <c r="X24" s="1354"/>
      <c r="Y24" s="370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4"/>
      <c r="Q25" s="1351">
        <f>B25</f>
        <v>111</v>
      </c>
      <c r="R25" s="704" t="s">
        <v>14</v>
      </c>
      <c r="S25" s="705">
        <f>F25</f>
        <v>100</v>
      </c>
      <c r="T25" s="704" t="s">
        <v>14</v>
      </c>
      <c r="U25" s="705">
        <f>H25</f>
        <v>100</v>
      </c>
      <c r="V25" s="704" t="s">
        <v>14</v>
      </c>
      <c r="W25" s="705">
        <f>J25</f>
        <v>100</v>
      </c>
      <c r="X25" s="1354"/>
      <c r="Y25" s="370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4"/>
      <c r="Q26" s="1351">
        <f t="shared" ref="Q26:Q40" si="11">B26</f>
        <v>111</v>
      </c>
      <c r="R26" s="704" t="s">
        <v>14</v>
      </c>
      <c r="S26" s="705">
        <f>F26</f>
        <v>100</v>
      </c>
      <c r="T26" s="704" t="s">
        <v>14</v>
      </c>
      <c r="U26" s="705">
        <f>H26</f>
        <v>100</v>
      </c>
      <c r="V26" s="704" t="s">
        <v>14</v>
      </c>
      <c r="W26" s="705">
        <f>J26</f>
        <v>100</v>
      </c>
      <c r="X26" s="1354"/>
      <c r="Y26" s="370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4"/>
      <c r="Q27" s="1342">
        <f t="shared" si="11"/>
        <v>111</v>
      </c>
      <c r="R27" s="700" t="s">
        <v>14</v>
      </c>
      <c r="S27" s="701">
        <f>F27</f>
        <v>100</v>
      </c>
      <c r="T27" s="700" t="s">
        <v>14</v>
      </c>
      <c r="U27" s="701">
        <f>H27</f>
        <v>100</v>
      </c>
      <c r="V27" s="700" t="s">
        <v>14</v>
      </c>
      <c r="W27" s="701">
        <f>J27</f>
        <v>100</v>
      </c>
      <c r="X27" s="702"/>
      <c r="Y27" s="370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4"/>
      <c r="Q28" s="1351">
        <f t="shared" si="11"/>
        <v>111</v>
      </c>
      <c r="R28" s="704" t="s">
        <v>14</v>
      </c>
      <c r="S28" s="705">
        <f t="shared" ref="S28:S40" si="12">F28</f>
        <v>100</v>
      </c>
      <c r="T28" s="704" t="s">
        <v>14</v>
      </c>
      <c r="U28" s="705">
        <f t="shared" ref="U28:U40" si="13">H28</f>
        <v>100</v>
      </c>
      <c r="V28" s="704" t="s">
        <v>14</v>
      </c>
      <c r="W28" s="705">
        <f t="shared" ref="W28:W40" si="14">J28</f>
        <v>100</v>
      </c>
      <c r="X28" s="1354"/>
      <c r="Y28" s="370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2" t="s">
        <v>1696</v>
      </c>
      <c r="Q29" s="1351" t="str">
        <f t="shared" si="11"/>
        <v>建筑类型</v>
      </c>
      <c r="R29" s="704" t="s">
        <v>14</v>
      </c>
      <c r="S29" s="705">
        <f t="shared" si="12"/>
        <v>100</v>
      </c>
      <c r="T29" s="704" t="s">
        <v>14</v>
      </c>
      <c r="U29" s="705">
        <f t="shared" si="13"/>
        <v>100</v>
      </c>
      <c r="V29" s="704" t="s">
        <v>14</v>
      </c>
      <c r="W29" s="705">
        <f t="shared" si="14"/>
        <v>100</v>
      </c>
      <c r="X29" s="1354"/>
      <c r="Y29" s="370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8"/>
      <c r="Q30" s="706" t="str">
        <f t="shared" si="11"/>
        <v>项目建筑规模</v>
      </c>
      <c r="R30" s="707" t="s">
        <v>14</v>
      </c>
      <c r="S30" s="708" t="e">
        <f t="shared" si="12"/>
        <v>#N/A</v>
      </c>
      <c r="T30" s="707" t="s">
        <v>14</v>
      </c>
      <c r="U30" s="708" t="e">
        <f t="shared" si="13"/>
        <v>#N/A</v>
      </c>
      <c r="V30" s="707" t="s">
        <v>14</v>
      </c>
      <c r="W30" s="708" t="e">
        <f t="shared" si="14"/>
        <v>#N/A</v>
      </c>
      <c r="X30" s="709"/>
      <c r="Y30" s="370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8"/>
      <c r="Q31" s="1351" t="str">
        <f t="shared" si="11"/>
        <v>建筑结构</v>
      </c>
      <c r="R31" s="704" t="s">
        <v>14</v>
      </c>
      <c r="S31" s="705">
        <f t="shared" si="12"/>
        <v>100</v>
      </c>
      <c r="T31" s="704" t="s">
        <v>14</v>
      </c>
      <c r="U31" s="705">
        <f t="shared" si="13"/>
        <v>100</v>
      </c>
      <c r="V31" s="704" t="s">
        <v>14</v>
      </c>
      <c r="W31" s="705">
        <f t="shared" si="14"/>
        <v>100</v>
      </c>
      <c r="X31" s="1354"/>
      <c r="Y31" s="370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8"/>
      <c r="Q32" s="1351" t="str">
        <f t="shared" si="11"/>
        <v>公共部分装修</v>
      </c>
      <c r="R32" s="704" t="s">
        <v>14</v>
      </c>
      <c r="S32" s="705">
        <f t="shared" si="12"/>
        <v>100</v>
      </c>
      <c r="T32" s="704" t="s">
        <v>14</v>
      </c>
      <c r="U32" s="705">
        <f t="shared" si="13"/>
        <v>100</v>
      </c>
      <c r="V32" s="704" t="s">
        <v>14</v>
      </c>
      <c r="W32" s="705">
        <f t="shared" si="14"/>
        <v>100</v>
      </c>
      <c r="X32" s="1354"/>
      <c r="Y32" s="370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8"/>
      <c r="Q33" s="1351" t="str">
        <f t="shared" si="11"/>
        <v>成新度</v>
      </c>
      <c r="R33" s="704" t="s">
        <v>14</v>
      </c>
      <c r="S33" s="705" t="e">
        <f t="shared" si="12"/>
        <v>#N/A</v>
      </c>
      <c r="T33" s="704" t="s">
        <v>14</v>
      </c>
      <c r="U33" s="705" t="e">
        <f t="shared" si="13"/>
        <v>#N/A</v>
      </c>
      <c r="V33" s="704" t="s">
        <v>14</v>
      </c>
      <c r="W33" s="705"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8"/>
      <c r="Q34" s="1342" t="str">
        <f t="shared" si="11"/>
        <v>物业管理</v>
      </c>
      <c r="R34" s="700" t="s">
        <v>14</v>
      </c>
      <c r="S34" s="701">
        <f t="shared" si="12"/>
        <v>100</v>
      </c>
      <c r="T34" s="700" t="s">
        <v>14</v>
      </c>
      <c r="U34" s="701">
        <f t="shared" si="13"/>
        <v>100</v>
      </c>
      <c r="V34" s="700" t="s">
        <v>14</v>
      </c>
      <c r="W34" s="701">
        <f t="shared" si="14"/>
        <v>100</v>
      </c>
      <c r="X34" s="702"/>
      <c r="Y34" s="370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8" t="s">
        <v>1696</v>
      </c>
      <c r="Q35" s="1351" t="str">
        <f t="shared" si="11"/>
        <v>市政基础设施</v>
      </c>
      <c r="R35" s="704" t="s">
        <v>14</v>
      </c>
      <c r="S35" s="705">
        <f t="shared" si="12"/>
        <v>100</v>
      </c>
      <c r="T35" s="704" t="s">
        <v>14</v>
      </c>
      <c r="U35" s="705">
        <f t="shared" si="13"/>
        <v>100</v>
      </c>
      <c r="V35" s="704" t="s">
        <v>14</v>
      </c>
      <c r="W35" s="705">
        <f t="shared" si="14"/>
        <v>100</v>
      </c>
      <c r="X35" s="1354"/>
      <c r="Y35" s="370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8"/>
      <c r="Q36" s="1351" t="str">
        <f t="shared" si="11"/>
        <v>内部装修</v>
      </c>
      <c r="R36" s="704" t="s">
        <v>14</v>
      </c>
      <c r="S36" s="705">
        <f t="shared" si="12"/>
        <v>100</v>
      </c>
      <c r="T36" s="704" t="s">
        <v>14</v>
      </c>
      <c r="U36" s="705">
        <f t="shared" si="13"/>
        <v>100</v>
      </c>
      <c r="V36" s="704" t="s">
        <v>14</v>
      </c>
      <c r="W36" s="705">
        <f t="shared" si="14"/>
        <v>100</v>
      </c>
      <c r="X36" s="1354"/>
      <c r="Y36" s="370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8"/>
      <c r="Q37" s="1351" t="str">
        <f t="shared" si="11"/>
        <v>内部装修状况</v>
      </c>
      <c r="R37" s="704" t="s">
        <v>14</v>
      </c>
      <c r="S37" s="705">
        <f t="shared" si="12"/>
        <v>100</v>
      </c>
      <c r="T37" s="704" t="s">
        <v>14</v>
      </c>
      <c r="U37" s="705">
        <f t="shared" si="13"/>
        <v>100</v>
      </c>
      <c r="V37" s="704" t="s">
        <v>14</v>
      </c>
      <c r="W37" s="705">
        <f t="shared" si="14"/>
        <v>100</v>
      </c>
      <c r="X37" s="1354"/>
      <c r="Y37" s="370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8"/>
      <c r="Q38" s="706">
        <f t="shared" si="11"/>
        <v>111</v>
      </c>
      <c r="R38" s="707" t="s">
        <v>14</v>
      </c>
      <c r="S38" s="708">
        <f t="shared" si="12"/>
        <v>100</v>
      </c>
      <c r="T38" s="707" t="s">
        <v>14</v>
      </c>
      <c r="U38" s="708">
        <f t="shared" si="13"/>
        <v>100</v>
      </c>
      <c r="V38" s="707" t="s">
        <v>14</v>
      </c>
      <c r="W38" s="708">
        <f t="shared" si="14"/>
        <v>100</v>
      </c>
      <c r="X38" s="709"/>
      <c r="Y38" s="370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8"/>
      <c r="Q39" s="1351">
        <f t="shared" si="11"/>
        <v>111</v>
      </c>
      <c r="R39" s="704" t="s">
        <v>14</v>
      </c>
      <c r="S39" s="705">
        <f t="shared" si="12"/>
        <v>100</v>
      </c>
      <c r="T39" s="704" t="s">
        <v>14</v>
      </c>
      <c r="U39" s="705">
        <f t="shared" si="13"/>
        <v>100</v>
      </c>
      <c r="V39" s="704" t="s">
        <v>14</v>
      </c>
      <c r="W39" s="705">
        <f t="shared" si="14"/>
        <v>100</v>
      </c>
      <c r="X39" s="1354"/>
      <c r="Y39" s="370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9"/>
      <c r="Q40" s="1351">
        <f t="shared" si="11"/>
        <v>111</v>
      </c>
      <c r="R40" s="704" t="s">
        <v>14</v>
      </c>
      <c r="S40" s="705">
        <f t="shared" si="12"/>
        <v>100</v>
      </c>
      <c r="T40" s="704" t="s">
        <v>14</v>
      </c>
      <c r="U40" s="705">
        <f t="shared" si="13"/>
        <v>100</v>
      </c>
      <c r="V40" s="704" t="s">
        <v>14</v>
      </c>
      <c r="W40" s="705">
        <f t="shared" si="14"/>
        <v>100</v>
      </c>
      <c r="X40" s="1354"/>
      <c r="Y40" s="370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2024-9</v>
      </c>
      <c r="D52" s="1184">
        <f>EDATE(C52,-1)</f>
        <v>45505</v>
      </c>
      <c r="E52" s="1184">
        <f t="shared" ref="E52:O52" si="16">EDATE(D52,-1)</f>
        <v>45474</v>
      </c>
      <c r="F52" s="1184">
        <f t="shared" si="16"/>
        <v>45444</v>
      </c>
      <c r="G52" s="1184">
        <f t="shared" si="16"/>
        <v>45413</v>
      </c>
      <c r="H52" s="1184">
        <f t="shared" si="16"/>
        <v>45383</v>
      </c>
      <c r="I52" s="1184">
        <f t="shared" si="16"/>
        <v>45352</v>
      </c>
      <c r="J52" s="1184">
        <f t="shared" si="16"/>
        <v>45323</v>
      </c>
      <c r="K52" s="1184">
        <f t="shared" si="16"/>
        <v>45292</v>
      </c>
      <c r="L52" s="1184">
        <f t="shared" si="16"/>
        <v>45261</v>
      </c>
      <c r="M52" s="1184">
        <f t="shared" si="16"/>
        <v>45231</v>
      </c>
      <c r="N52" s="1184">
        <f t="shared" si="16"/>
        <v>45200</v>
      </c>
      <c r="O52" s="1184">
        <f t="shared" si="16"/>
        <v>45170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4"/>
      <c r="M5" s="2715"/>
      <c r="N5" s="2715"/>
      <c r="O5" s="2715"/>
      <c r="P5" s="3722"/>
      <c r="Q5" s="3723"/>
      <c r="R5" s="3728"/>
      <c r="S5" s="3729"/>
      <c r="T5" s="3728"/>
      <c r="U5" s="3729"/>
      <c r="V5" s="3732"/>
      <c r="W5" s="3732"/>
      <c r="X5" s="1354"/>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2714"/>
      <c r="M6" s="2715"/>
      <c r="N6" s="2715"/>
      <c r="O6" s="2715"/>
      <c r="P6" s="3724"/>
      <c r="Q6" s="3725"/>
      <c r="R6" s="3728"/>
      <c r="S6" s="3729"/>
      <c r="T6" s="3730"/>
      <c r="U6" s="3731"/>
      <c r="V6" s="3732"/>
      <c r="W6" s="3732"/>
      <c r="X6" s="1354"/>
      <c r="Y6" s="3730"/>
      <c r="Z6" s="3731"/>
      <c r="AA6" s="3715"/>
      <c r="AB6" s="3715"/>
      <c r="AC6" s="3715"/>
    </row>
    <row r="7" spans="1:29" s="108" customFormat="1" ht="15.75" thickBot="1">
      <c r="A7" s="362" t="s">
        <v>1679</v>
      </c>
      <c r="B7" s="363"/>
      <c r="C7" s="364">
        <f>'数据-取费表'!B2</f>
        <v>45554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7" t="s">
        <v>1680</v>
      </c>
      <c r="Q7" s="3739"/>
      <c r="R7" s="700" t="s">
        <v>14</v>
      </c>
      <c r="S7" s="701">
        <f t="shared" ref="S7:S14" si="0">F7</f>
        <v>0</v>
      </c>
      <c r="T7" s="700" t="s">
        <v>14</v>
      </c>
      <c r="U7" s="701">
        <f t="shared" ref="U7:U14" si="1">H7</f>
        <v>0</v>
      </c>
      <c r="V7" s="700" t="s">
        <v>14</v>
      </c>
      <c r="W7" s="701">
        <f t="shared" ref="W7:W14" si="2">J7</f>
        <v>0</v>
      </c>
      <c r="X7" s="702"/>
      <c r="Y7" s="3737" t="s">
        <v>1680</v>
      </c>
      <c r="Z7" s="373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7" t="s">
        <v>1683</v>
      </c>
      <c r="Q8" s="3738"/>
      <c r="R8" s="700" t="s">
        <v>14</v>
      </c>
      <c r="S8" s="701">
        <f t="shared" si="0"/>
        <v>100</v>
      </c>
      <c r="T8" s="700" t="s">
        <v>14</v>
      </c>
      <c r="U8" s="701">
        <f t="shared" si="1"/>
        <v>100</v>
      </c>
      <c r="V8" s="700" t="s">
        <v>14</v>
      </c>
      <c r="W8" s="701">
        <f t="shared" si="2"/>
        <v>100</v>
      </c>
      <c r="X8" s="702"/>
      <c r="Y8" s="3737" t="s">
        <v>1683</v>
      </c>
      <c r="Z8" s="3738"/>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4"/>
      <c r="Q15" s="1351"/>
      <c r="R15" s="704"/>
      <c r="S15" s="705"/>
      <c r="T15" s="704"/>
      <c r="U15" s="705"/>
      <c r="V15" s="704"/>
      <c r="W15" s="705"/>
      <c r="X15" s="1354"/>
      <c r="Y15" s="370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4"/>
      <c r="Q17" s="1351"/>
      <c r="R17" s="704"/>
      <c r="S17" s="705"/>
      <c r="T17" s="704"/>
      <c r="U17" s="705"/>
      <c r="V17" s="704"/>
      <c r="W17" s="705"/>
      <c r="X17" s="1354"/>
      <c r="Y17" s="370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04"/>
      <c r="Q19" s="1351"/>
      <c r="R19" s="704"/>
      <c r="S19" s="705"/>
      <c r="T19" s="704"/>
      <c r="U19" s="705"/>
      <c r="V19" s="704"/>
      <c r="W19" s="705"/>
      <c r="X19" s="1354"/>
      <c r="Y19" s="370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4"/>
      <c r="Q21" s="1351"/>
      <c r="R21" s="704"/>
      <c r="S21" s="705"/>
      <c r="T21" s="704"/>
      <c r="U21" s="705"/>
      <c r="V21" s="704"/>
      <c r="W21" s="705"/>
      <c r="X21" s="1354"/>
      <c r="Y21" s="370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4"/>
      <c r="Q24" s="1351">
        <f t="shared" ref="Q24:Q36"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8"/>
      <c r="Q27" s="706" t="str">
        <f t="shared" si="11"/>
        <v>项目停车位配比</v>
      </c>
      <c r="R27" s="707" t="s">
        <v>14</v>
      </c>
      <c r="S27" s="708">
        <f t="shared" si="12"/>
        <v>100</v>
      </c>
      <c r="T27" s="707" t="s">
        <v>14</v>
      </c>
      <c r="U27" s="708">
        <f t="shared" si="13"/>
        <v>100</v>
      </c>
      <c r="V27" s="707" t="s">
        <v>14</v>
      </c>
      <c r="W27" s="708">
        <f t="shared" si="14"/>
        <v>100</v>
      </c>
      <c r="X27" s="709"/>
      <c r="Y27" s="3708"/>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8"/>
      <c r="Q28" s="1351" t="str">
        <f t="shared" si="11"/>
        <v>公共部分装修</v>
      </c>
      <c r="R28" s="704" t="s">
        <v>14</v>
      </c>
      <c r="S28" s="705">
        <f t="shared" si="12"/>
        <v>100</v>
      </c>
      <c r="T28" s="704" t="s">
        <v>14</v>
      </c>
      <c r="U28" s="705">
        <f t="shared" si="13"/>
        <v>100</v>
      </c>
      <c r="V28" s="704" t="s">
        <v>14</v>
      </c>
      <c r="W28" s="705">
        <f t="shared" si="14"/>
        <v>100</v>
      </c>
      <c r="X28" s="1354"/>
      <c r="Y28" s="370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8"/>
      <c r="Q29" s="1351" t="str">
        <f t="shared" si="11"/>
        <v>成新率</v>
      </c>
      <c r="R29" s="704" t="s">
        <v>14</v>
      </c>
      <c r="S29" s="705" t="e">
        <f t="shared" si="12"/>
        <v>#N/A</v>
      </c>
      <c r="T29" s="704" t="s">
        <v>14</v>
      </c>
      <c r="U29" s="705" t="e">
        <f t="shared" si="13"/>
        <v>#N/A</v>
      </c>
      <c r="V29" s="704" t="s">
        <v>14</v>
      </c>
      <c r="W29" s="705" t="e">
        <f t="shared" si="14"/>
        <v>#N/A</v>
      </c>
      <c r="X29" s="1354"/>
      <c r="Y29" s="370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8"/>
      <c r="Q30" s="1351" t="str">
        <f t="shared" si="11"/>
        <v>物业等级</v>
      </c>
      <c r="R30" s="704" t="s">
        <v>14</v>
      </c>
      <c r="S30" s="705">
        <f t="shared" si="12"/>
        <v>100</v>
      </c>
      <c r="T30" s="704" t="s">
        <v>14</v>
      </c>
      <c r="U30" s="705">
        <f t="shared" si="13"/>
        <v>100</v>
      </c>
      <c r="V30" s="704" t="s">
        <v>14</v>
      </c>
      <c r="W30" s="705">
        <f t="shared" si="14"/>
        <v>100</v>
      </c>
      <c r="X30" s="1354"/>
      <c r="Y30" s="370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8"/>
      <c r="Q31" s="1342" t="str">
        <f t="shared" si="11"/>
        <v>停车位面积</v>
      </c>
      <c r="R31" s="700" t="s">
        <v>14</v>
      </c>
      <c r="S31" s="701" t="e">
        <f t="shared" si="12"/>
        <v>#N/A</v>
      </c>
      <c r="T31" s="700" t="s">
        <v>14</v>
      </c>
      <c r="U31" s="701" t="e">
        <f t="shared" si="13"/>
        <v>#N/A</v>
      </c>
      <c r="V31" s="700" t="s">
        <v>14</v>
      </c>
      <c r="W31" s="701" t="e">
        <f t="shared" si="14"/>
        <v>#N/A</v>
      </c>
      <c r="X31" s="702"/>
      <c r="Y31" s="370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8" t="s">
        <v>1696</v>
      </c>
      <c r="Q32" s="1351" t="str">
        <f t="shared" si="11"/>
        <v>车位类型</v>
      </c>
      <c r="R32" s="704" t="s">
        <v>14</v>
      </c>
      <c r="S32" s="705">
        <f t="shared" si="12"/>
        <v>100</v>
      </c>
      <c r="T32" s="704" t="s">
        <v>14</v>
      </c>
      <c r="U32" s="705">
        <f t="shared" si="13"/>
        <v>100</v>
      </c>
      <c r="V32" s="704" t="s">
        <v>14</v>
      </c>
      <c r="W32" s="705">
        <f t="shared" si="14"/>
        <v>100</v>
      </c>
      <c r="X32" s="1354"/>
      <c r="Y32" s="370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8"/>
      <c r="Q33" s="1351" t="str">
        <f t="shared" si="11"/>
        <v>是否直接入户</v>
      </c>
      <c r="R33" s="704" t="s">
        <v>14</v>
      </c>
      <c r="S33" s="705">
        <f t="shared" si="12"/>
        <v>100</v>
      </c>
      <c r="T33" s="704" t="s">
        <v>14</v>
      </c>
      <c r="U33" s="705">
        <f t="shared" si="13"/>
        <v>100</v>
      </c>
      <c r="V33" s="704" t="s">
        <v>14</v>
      </c>
      <c r="W33" s="705">
        <f t="shared" si="14"/>
        <v>100</v>
      </c>
      <c r="X33" s="1354"/>
      <c r="Y33" s="370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8"/>
      <c r="Q35" s="706">
        <f t="shared" si="11"/>
        <v>111</v>
      </c>
      <c r="R35" s="707" t="s">
        <v>14</v>
      </c>
      <c r="S35" s="708">
        <f t="shared" si="12"/>
        <v>100</v>
      </c>
      <c r="T35" s="707" t="s">
        <v>14</v>
      </c>
      <c r="U35" s="708">
        <f t="shared" si="13"/>
        <v>100</v>
      </c>
      <c r="V35" s="707" t="s">
        <v>14</v>
      </c>
      <c r="W35" s="708">
        <f t="shared" si="14"/>
        <v>100</v>
      </c>
      <c r="X35" s="709"/>
      <c r="Y35" s="3708"/>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8"/>
      <c r="Q36" s="1351">
        <f t="shared" si="11"/>
        <v>111</v>
      </c>
      <c r="R36" s="704" t="s">
        <v>14</v>
      </c>
      <c r="S36" s="705">
        <f t="shared" si="12"/>
        <v>100</v>
      </c>
      <c r="T36" s="704" t="s">
        <v>14</v>
      </c>
      <c r="U36" s="705">
        <f t="shared" si="13"/>
        <v>100</v>
      </c>
      <c r="V36" s="704" t="s">
        <v>14</v>
      </c>
      <c r="W36" s="705">
        <f t="shared" si="14"/>
        <v>100</v>
      </c>
      <c r="X36" s="1354"/>
      <c r="Y36" s="3708"/>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98" t="str">
        <f>A39</f>
        <v>估价对象XX用房的比较价值（楼面单价，元/平方米）</v>
      </c>
      <c r="Q39" s="3699"/>
      <c r="R39" s="3763" t="e">
        <f>IF(F1="售价",ROUND(IF(D38="简单平均",AVERAGE(R38:W38),R38*F38+T38*H38+V38*J38),0),ROUND(IF(D38="简单平均",AVERAGE(R38:V38),R38*F38+T38*H38+V38*J38),1))</f>
        <v>#DIV/0!</v>
      </c>
      <c r="S39" s="3763"/>
      <c r="T39" s="3763"/>
      <c r="U39" s="3763"/>
      <c r="V39" s="3763"/>
      <c r="W39" s="376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2024-9</v>
      </c>
      <c r="D48" s="1184">
        <f>EDATE(C48,-1)</f>
        <v>45505</v>
      </c>
      <c r="E48" s="1184">
        <f t="shared" ref="E48:O48" si="16">EDATE(D48,-1)</f>
        <v>45474</v>
      </c>
      <c r="F48" s="1184">
        <f t="shared" si="16"/>
        <v>45444</v>
      </c>
      <c r="G48" s="1184">
        <f t="shared" si="16"/>
        <v>45413</v>
      </c>
      <c r="H48" s="1184">
        <f t="shared" si="16"/>
        <v>45383</v>
      </c>
      <c r="I48" s="1184">
        <f t="shared" si="16"/>
        <v>45352</v>
      </c>
      <c r="J48" s="1184">
        <f t="shared" si="16"/>
        <v>45323</v>
      </c>
      <c r="K48" s="1184">
        <f t="shared" si="16"/>
        <v>45292</v>
      </c>
      <c r="L48" s="1184">
        <f t="shared" si="16"/>
        <v>45261</v>
      </c>
      <c r="M48" s="1184">
        <f t="shared" si="16"/>
        <v>45231</v>
      </c>
      <c r="N48" s="1184">
        <f t="shared" si="16"/>
        <v>45200</v>
      </c>
      <c r="O48" s="1184">
        <f t="shared" si="16"/>
        <v>45170</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4"/>
      <c r="M5" s="2715"/>
      <c r="N5" s="2715"/>
      <c r="O5" s="2715"/>
      <c r="P5" s="3722"/>
      <c r="Q5" s="3723"/>
      <c r="R5" s="3728"/>
      <c r="S5" s="3729"/>
      <c r="T5" s="3728"/>
      <c r="U5" s="3729"/>
      <c r="V5" s="3732"/>
      <c r="W5" s="3732"/>
      <c r="X5" s="1354"/>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2714"/>
      <c r="M6" s="2715"/>
      <c r="N6" s="2715"/>
      <c r="O6" s="2715"/>
      <c r="P6" s="3724"/>
      <c r="Q6" s="3725"/>
      <c r="R6" s="3728"/>
      <c r="S6" s="3729"/>
      <c r="T6" s="3730"/>
      <c r="U6" s="3731"/>
      <c r="V6" s="3732"/>
      <c r="W6" s="3732"/>
      <c r="X6" s="1354"/>
      <c r="Y6" s="3730"/>
      <c r="Z6" s="3731"/>
      <c r="AA6" s="3715"/>
      <c r="AB6" s="3715"/>
      <c r="AC6" s="3715"/>
    </row>
    <row r="7" spans="1:29" s="108" customFormat="1" ht="15.75" thickBot="1">
      <c r="A7" s="362" t="s">
        <v>1679</v>
      </c>
      <c r="B7" s="363"/>
      <c r="C7" s="364">
        <f>'数据-取费表'!B2</f>
        <v>45554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37" t="s">
        <v>1680</v>
      </c>
      <c r="Q7" s="3739"/>
      <c r="R7" s="700" t="s">
        <v>14</v>
      </c>
      <c r="S7" s="701">
        <f t="shared" ref="S7:S14" si="0">F7</f>
        <v>0</v>
      </c>
      <c r="T7" s="700" t="s">
        <v>14</v>
      </c>
      <c r="U7" s="701">
        <f t="shared" ref="U7:U14" si="1">H7</f>
        <v>0</v>
      </c>
      <c r="V7" s="700" t="s">
        <v>14</v>
      </c>
      <c r="W7" s="701">
        <f t="shared" ref="W7:W14" si="2">J7</f>
        <v>0</v>
      </c>
      <c r="X7" s="702"/>
      <c r="Y7" s="3737" t="s">
        <v>1680</v>
      </c>
      <c r="Z7" s="373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7" t="s">
        <v>1683</v>
      </c>
      <c r="Q8" s="3738"/>
      <c r="R8" s="700" t="s">
        <v>14</v>
      </c>
      <c r="S8" s="701">
        <f t="shared" si="0"/>
        <v>100</v>
      </c>
      <c r="T8" s="700" t="s">
        <v>14</v>
      </c>
      <c r="U8" s="701">
        <f t="shared" si="1"/>
        <v>100</v>
      </c>
      <c r="V8" s="700" t="s">
        <v>14</v>
      </c>
      <c r="W8" s="701">
        <f t="shared" si="2"/>
        <v>100</v>
      </c>
      <c r="X8" s="702"/>
      <c r="Y8" s="3737" t="s">
        <v>1683</v>
      </c>
      <c r="Z8" s="373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8"/>
      <c r="M10" s="2719"/>
      <c r="N10" s="2719"/>
      <c r="O10" s="2772"/>
      <c r="P10" s="3701"/>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4"/>
      <c r="Q15" s="1351"/>
      <c r="R15" s="704"/>
      <c r="S15" s="705"/>
      <c r="T15" s="704"/>
      <c r="U15" s="705"/>
      <c r="V15" s="704"/>
      <c r="W15" s="705"/>
      <c r="X15" s="1354"/>
      <c r="Y15" s="370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4"/>
      <c r="Q17" s="1351"/>
      <c r="R17" s="704"/>
      <c r="S17" s="705"/>
      <c r="T17" s="704"/>
      <c r="U17" s="705"/>
      <c r="V17" s="704"/>
      <c r="W17" s="705"/>
      <c r="X17" s="1354"/>
      <c r="Y17" s="370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4"/>
      <c r="Q19" s="1351"/>
      <c r="R19" s="704"/>
      <c r="S19" s="705"/>
      <c r="T19" s="704"/>
      <c r="U19" s="705"/>
      <c r="V19" s="704"/>
      <c r="W19" s="705"/>
      <c r="X19" s="1354"/>
      <c r="Y19" s="370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4"/>
      <c r="Q21" s="1351"/>
      <c r="R21" s="704"/>
      <c r="S21" s="705"/>
      <c r="T21" s="704"/>
      <c r="U21" s="705"/>
      <c r="V21" s="704"/>
      <c r="W21" s="705"/>
      <c r="X21" s="1354"/>
      <c r="Y21" s="370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4"/>
      <c r="Q24" s="1351">
        <f t="shared" ref="Q24:Q34"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8"/>
      <c r="Q27" s="706" t="str">
        <f t="shared" si="11"/>
        <v>成新率</v>
      </c>
      <c r="R27" s="707" t="s">
        <v>14</v>
      </c>
      <c r="S27" s="708" t="e">
        <f t="shared" si="12"/>
        <v>#N/A</v>
      </c>
      <c r="T27" s="707" t="s">
        <v>14</v>
      </c>
      <c r="U27" s="708" t="e">
        <f t="shared" si="13"/>
        <v>#N/A</v>
      </c>
      <c r="V27" s="707" t="s">
        <v>14</v>
      </c>
      <c r="W27" s="708" t="e">
        <f t="shared" si="14"/>
        <v>#N/A</v>
      </c>
      <c r="X27" s="709"/>
      <c r="Y27" s="370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8"/>
      <c r="Q28" s="1351" t="str">
        <f t="shared" si="11"/>
        <v>物业等级</v>
      </c>
      <c r="R28" s="704" t="s">
        <v>14</v>
      </c>
      <c r="S28" s="705">
        <f t="shared" si="12"/>
        <v>100</v>
      </c>
      <c r="T28" s="704" t="s">
        <v>14</v>
      </c>
      <c r="U28" s="705">
        <f t="shared" si="13"/>
        <v>100</v>
      </c>
      <c r="V28" s="704" t="s">
        <v>14</v>
      </c>
      <c r="W28" s="705">
        <f t="shared" si="14"/>
        <v>100</v>
      </c>
      <c r="X28" s="1354"/>
      <c r="Y28" s="370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8"/>
      <c r="Q29" s="1351" t="str">
        <f t="shared" si="11"/>
        <v>有无电梯</v>
      </c>
      <c r="R29" s="704" t="s">
        <v>14</v>
      </c>
      <c r="S29" s="705">
        <f t="shared" si="12"/>
        <v>100</v>
      </c>
      <c r="T29" s="704" t="s">
        <v>14</v>
      </c>
      <c r="U29" s="705">
        <f t="shared" si="13"/>
        <v>100</v>
      </c>
      <c r="V29" s="704" t="s">
        <v>14</v>
      </c>
      <c r="W29" s="705">
        <f t="shared" si="14"/>
        <v>100</v>
      </c>
      <c r="X29" s="1354"/>
      <c r="Y29" s="370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8"/>
      <c r="Q30" s="1351" t="str">
        <f t="shared" si="11"/>
        <v>建筑面积</v>
      </c>
      <c r="R30" s="704" t="s">
        <v>14</v>
      </c>
      <c r="S30" s="705" t="e">
        <f t="shared" si="12"/>
        <v>#N/A</v>
      </c>
      <c r="T30" s="704" t="s">
        <v>14</v>
      </c>
      <c r="U30" s="705" t="e">
        <f t="shared" si="13"/>
        <v>#N/A</v>
      </c>
      <c r="V30" s="704" t="s">
        <v>14</v>
      </c>
      <c r="W30" s="705" t="e">
        <f t="shared" si="14"/>
        <v>#N/A</v>
      </c>
      <c r="X30" s="1354"/>
      <c r="Y30" s="370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8"/>
      <c r="Q31" s="1342" t="str">
        <f t="shared" si="11"/>
        <v>是否封闭</v>
      </c>
      <c r="R31" s="700" t="s">
        <v>14</v>
      </c>
      <c r="S31" s="701">
        <f t="shared" si="12"/>
        <v>100</v>
      </c>
      <c r="T31" s="700" t="s">
        <v>14</v>
      </c>
      <c r="U31" s="701">
        <f t="shared" si="13"/>
        <v>100</v>
      </c>
      <c r="V31" s="700" t="s">
        <v>14</v>
      </c>
      <c r="W31" s="701">
        <f t="shared" si="14"/>
        <v>100</v>
      </c>
      <c r="X31" s="702"/>
      <c r="Y31" s="370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8" t="s">
        <v>1696</v>
      </c>
      <c r="Q32" s="1351">
        <f t="shared" si="11"/>
        <v>111</v>
      </c>
      <c r="R32" s="704" t="s">
        <v>14</v>
      </c>
      <c r="S32" s="705">
        <f t="shared" si="12"/>
        <v>100</v>
      </c>
      <c r="T32" s="704" t="s">
        <v>14</v>
      </c>
      <c r="U32" s="705">
        <f t="shared" si="13"/>
        <v>100</v>
      </c>
      <c r="V32" s="704" t="s">
        <v>14</v>
      </c>
      <c r="W32" s="705">
        <f t="shared" si="14"/>
        <v>100</v>
      </c>
      <c r="X32" s="1354"/>
      <c r="Y32" s="370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8"/>
      <c r="Q33" s="1351">
        <f t="shared" si="11"/>
        <v>111</v>
      </c>
      <c r="R33" s="704" t="s">
        <v>14</v>
      </c>
      <c r="S33" s="705">
        <f t="shared" si="12"/>
        <v>100</v>
      </c>
      <c r="T33" s="704" t="s">
        <v>14</v>
      </c>
      <c r="U33" s="705">
        <f t="shared" si="13"/>
        <v>100</v>
      </c>
      <c r="V33" s="704" t="s">
        <v>14</v>
      </c>
      <c r="W33" s="705">
        <f t="shared" si="14"/>
        <v>100</v>
      </c>
      <c r="X33" s="1354"/>
      <c r="Y33" s="370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8" t="str">
        <f>A37</f>
        <v>估价对象XX用房的比较价值（楼面单价，元/平方米）</v>
      </c>
      <c r="Q37" s="3699"/>
      <c r="R37" s="3763" t="e">
        <f>IF(F1="售价",ROUND(IF(D36="简单平均",AVERAGE(R36:W36),R36*F36+T36*H36+V36*J36),0),ROUND(IF(D36="简单平均",AVERAGE(R36:V36),R36*F36+T36*H36+V36*J36),1))</f>
        <v>#DIV/0!</v>
      </c>
      <c r="S37" s="3763"/>
      <c r="T37" s="3763"/>
      <c r="U37" s="3763"/>
      <c r="V37" s="3763"/>
      <c r="W37" s="376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2024-9</v>
      </c>
      <c r="D46" s="1184">
        <f>EDATE(C46,-1)</f>
        <v>45505</v>
      </c>
      <c r="E46" s="1184">
        <f t="shared" ref="E46:O46" si="16">EDATE(D46,-1)</f>
        <v>45474</v>
      </c>
      <c r="F46" s="1184">
        <f t="shared" si="16"/>
        <v>45444</v>
      </c>
      <c r="G46" s="1184">
        <f t="shared" si="16"/>
        <v>45413</v>
      </c>
      <c r="H46" s="1184">
        <f t="shared" si="16"/>
        <v>45383</v>
      </c>
      <c r="I46" s="1184">
        <f t="shared" si="16"/>
        <v>45352</v>
      </c>
      <c r="J46" s="1184">
        <f t="shared" si="16"/>
        <v>45323</v>
      </c>
      <c r="K46" s="1184">
        <f t="shared" si="16"/>
        <v>45292</v>
      </c>
      <c r="L46" s="1184">
        <f t="shared" si="16"/>
        <v>45261</v>
      </c>
      <c r="M46" s="1184">
        <f t="shared" si="16"/>
        <v>45231</v>
      </c>
      <c r="N46" s="1184">
        <f t="shared" si="16"/>
        <v>45200</v>
      </c>
      <c r="O46" s="1184">
        <f t="shared" si="16"/>
        <v>45170</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30" ht="15">
      <c r="A5" s="358"/>
      <c r="B5" s="359"/>
      <c r="C5" s="3735" t="s">
        <v>1673</v>
      </c>
      <c r="D5" s="3736"/>
      <c r="E5" s="3742" t="s">
        <v>1674</v>
      </c>
      <c r="F5" s="3743"/>
      <c r="G5" s="3735" t="s">
        <v>1675</v>
      </c>
      <c r="H5" s="3736"/>
      <c r="I5" s="3735" t="s">
        <v>1676</v>
      </c>
      <c r="J5" s="3736"/>
      <c r="K5" s="559"/>
      <c r="L5" s="2714"/>
      <c r="M5" s="2715"/>
      <c r="N5" s="2715"/>
      <c r="O5" s="2715"/>
      <c r="P5" s="3722"/>
      <c r="Q5" s="3723"/>
      <c r="R5" s="3728"/>
      <c r="S5" s="3729"/>
      <c r="T5" s="3728"/>
      <c r="U5" s="3729"/>
      <c r="V5" s="3732"/>
      <c r="W5" s="3732"/>
      <c r="X5" s="1354"/>
      <c r="Y5" s="3728"/>
      <c r="Z5" s="3729"/>
      <c r="AA5" s="3714"/>
      <c r="AB5" s="3714"/>
      <c r="AC5" s="3714"/>
    </row>
    <row r="6" spans="1:30" ht="15.75" thickBot="1">
      <c r="A6" s="360"/>
      <c r="B6" s="361"/>
      <c r="C6" s="3733" t="s">
        <v>1677</v>
      </c>
      <c r="D6" s="3734"/>
      <c r="E6" s="3740" t="s">
        <v>1677</v>
      </c>
      <c r="F6" s="3741"/>
      <c r="G6" s="3733" t="s">
        <v>1677</v>
      </c>
      <c r="H6" s="3734"/>
      <c r="I6" s="3733" t="s">
        <v>1677</v>
      </c>
      <c r="J6" s="3734"/>
      <c r="K6" s="559" t="s">
        <v>1678</v>
      </c>
      <c r="L6" s="2714"/>
      <c r="M6" s="2715"/>
      <c r="N6" s="2715"/>
      <c r="O6" s="2715"/>
      <c r="P6" s="3724"/>
      <c r="Q6" s="3725"/>
      <c r="R6" s="3728"/>
      <c r="S6" s="3729"/>
      <c r="T6" s="3730"/>
      <c r="U6" s="3731"/>
      <c r="V6" s="3732"/>
      <c r="W6" s="3732"/>
      <c r="X6" s="1354"/>
      <c r="Y6" s="3730"/>
      <c r="Z6" s="3731"/>
      <c r="AA6" s="3715"/>
      <c r="AB6" s="3715"/>
      <c r="AC6" s="3715"/>
    </row>
    <row r="7" spans="1:30" s="108" customFormat="1" ht="15.75" thickBot="1">
      <c r="A7" s="362" t="s">
        <v>1679</v>
      </c>
      <c r="B7" s="363"/>
      <c r="C7" s="364">
        <f>'数据-取费表'!B2</f>
        <v>45554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3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7" t="s">
        <v>1683</v>
      </c>
      <c r="Q8" s="3738"/>
      <c r="R8" s="700" t="s">
        <v>14</v>
      </c>
      <c r="S8" s="701">
        <f t="shared" si="0"/>
        <v>0</v>
      </c>
      <c r="T8" s="700" t="s">
        <v>14</v>
      </c>
      <c r="U8" s="701">
        <f t="shared" si="1"/>
        <v>0</v>
      </c>
      <c r="V8" s="700" t="s">
        <v>14</v>
      </c>
      <c r="W8" s="701">
        <f t="shared" si="2"/>
        <v>0</v>
      </c>
      <c r="X8" s="702"/>
      <c r="Y8" s="3737" t="s">
        <v>1683</v>
      </c>
      <c r="Z8" s="373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8"/>
      <c r="M10" s="2719"/>
      <c r="N10" s="2719"/>
      <c r="O10" s="2772"/>
      <c r="P10" s="3701"/>
      <c r="Q10" s="1342" t="str">
        <f t="shared" si="6"/>
        <v>土地使用年限（年）</v>
      </c>
      <c r="R10" s="700" t="s">
        <v>14</v>
      </c>
      <c r="S10" s="701">
        <f t="shared" si="0"/>
        <v>127</v>
      </c>
      <c r="T10" s="700" t="s">
        <v>14</v>
      </c>
      <c r="U10" s="701">
        <f t="shared" si="1"/>
        <v>127</v>
      </c>
      <c r="V10" s="700" t="s">
        <v>14</v>
      </c>
      <c r="W10" s="701">
        <f t="shared" si="2"/>
        <v>127</v>
      </c>
      <c r="X10" s="702"/>
      <c r="Y10" s="3557"/>
      <c r="Z10" s="52" t="str">
        <f t="shared" si="7"/>
        <v>土地使用年限（年）</v>
      </c>
      <c r="AA10" s="703">
        <f t="shared" si="3"/>
        <v>0.78740157480314965</v>
      </c>
      <c r="AB10" s="703">
        <f t="shared" si="4"/>
        <v>0.78740157480314965</v>
      </c>
      <c r="AC10" s="703">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3" t="s">
        <v>1691</v>
      </c>
      <c r="Q15" s="1351" t="str">
        <f t="shared" si="6"/>
        <v>居住社区成熟度</v>
      </c>
      <c r="R15" s="704" t="s">
        <v>14</v>
      </c>
      <c r="S15" s="705">
        <f t="shared" si="0"/>
        <v>100</v>
      </c>
      <c r="T15" s="704" t="s">
        <v>14</v>
      </c>
      <c r="U15" s="705">
        <f t="shared" si="1"/>
        <v>100</v>
      </c>
      <c r="V15" s="704" t="s">
        <v>14</v>
      </c>
      <c r="W15" s="705">
        <f t="shared" si="2"/>
        <v>100</v>
      </c>
      <c r="X15" s="1354"/>
      <c r="Y15" s="370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4"/>
      <c r="Q16" s="1351"/>
      <c r="R16" s="704"/>
      <c r="S16" s="705"/>
      <c r="T16" s="704"/>
      <c r="U16" s="705"/>
      <c r="V16" s="704"/>
      <c r="W16" s="705"/>
      <c r="X16" s="1354"/>
      <c r="Y16" s="370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4"/>
      <c r="Q17" s="1351" t="str">
        <f>B17</f>
        <v>商业繁华度</v>
      </c>
      <c r="R17" s="704" t="s">
        <v>14</v>
      </c>
      <c r="S17" s="705">
        <f>F17</f>
        <v>100</v>
      </c>
      <c r="T17" s="704" t="s">
        <v>14</v>
      </c>
      <c r="U17" s="705">
        <f>H17</f>
        <v>100</v>
      </c>
      <c r="V17" s="704" t="s">
        <v>14</v>
      </c>
      <c r="W17" s="705">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4"/>
      <c r="Q18" s="1351"/>
      <c r="R18" s="704"/>
      <c r="S18" s="705"/>
      <c r="T18" s="704"/>
      <c r="U18" s="705"/>
      <c r="V18" s="704"/>
      <c r="W18" s="705"/>
      <c r="X18" s="1354"/>
      <c r="Y18" s="370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4"/>
      <c r="Q19" s="1351" t="str">
        <f>B19</f>
        <v>办公集聚程度</v>
      </c>
      <c r="R19" s="704" t="s">
        <v>14</v>
      </c>
      <c r="S19" s="705">
        <f>F19</f>
        <v>100</v>
      </c>
      <c r="T19" s="704" t="s">
        <v>14</v>
      </c>
      <c r="U19" s="705">
        <f>H19</f>
        <v>100</v>
      </c>
      <c r="V19" s="704" t="s">
        <v>14</v>
      </c>
      <c r="W19" s="705">
        <f>J19</f>
        <v>100</v>
      </c>
      <c r="X19" s="1354"/>
      <c r="Y19" s="370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4"/>
      <c r="Q20" s="1351"/>
      <c r="R20" s="704"/>
      <c r="S20" s="705"/>
      <c r="T20" s="704"/>
      <c r="U20" s="705"/>
      <c r="V20" s="704"/>
      <c r="W20" s="705"/>
      <c r="X20" s="1354"/>
      <c r="Y20" s="370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4"/>
      <c r="Q21" s="1351" t="str">
        <f>B21</f>
        <v>交通便捷度</v>
      </c>
      <c r="R21" s="704" t="s">
        <v>14</v>
      </c>
      <c r="S21" s="705">
        <f>F21</f>
        <v>100</v>
      </c>
      <c r="T21" s="704" t="s">
        <v>14</v>
      </c>
      <c r="U21" s="705">
        <f>H21</f>
        <v>100</v>
      </c>
      <c r="V21" s="704" t="s">
        <v>14</v>
      </c>
      <c r="W21" s="705">
        <f>J21</f>
        <v>100</v>
      </c>
      <c r="X21" s="1354"/>
      <c r="Y21" s="370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04"/>
      <c r="Q22" s="1351"/>
      <c r="R22" s="704"/>
      <c r="S22" s="705"/>
      <c r="T22" s="704"/>
      <c r="U22" s="705"/>
      <c r="V22" s="704"/>
      <c r="W22" s="705"/>
      <c r="X22" s="1354"/>
      <c r="Y22" s="370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4"/>
      <c r="Q23" s="1351" t="str">
        <f t="shared" ref="Q23:Q37" si="8">B23</f>
        <v>区域土地利用方向</v>
      </c>
      <c r="R23" s="704" t="s">
        <v>14</v>
      </c>
      <c r="S23" s="705">
        <f>F23</f>
        <v>100</v>
      </c>
      <c r="T23" s="704" t="s">
        <v>14</v>
      </c>
      <c r="U23" s="705">
        <f>H23</f>
        <v>100</v>
      </c>
      <c r="V23" s="704" t="s">
        <v>14</v>
      </c>
      <c r="W23" s="705">
        <f>J23</f>
        <v>100</v>
      </c>
      <c r="X23" s="1354"/>
      <c r="Y23" s="370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4"/>
      <c r="Q24" s="1351"/>
      <c r="R24" s="704"/>
      <c r="S24" s="705"/>
      <c r="T24" s="704"/>
      <c r="U24" s="705"/>
      <c r="V24" s="704"/>
      <c r="W24" s="705"/>
      <c r="X24" s="1354"/>
      <c r="Y24" s="370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4"/>
      <c r="Q25" s="1351" t="str">
        <f t="shared" si="8"/>
        <v>自然及人文环境状况</v>
      </c>
      <c r="R25" s="704" t="s">
        <v>14</v>
      </c>
      <c r="S25" s="705">
        <f>F25</f>
        <v>100</v>
      </c>
      <c r="T25" s="704" t="s">
        <v>14</v>
      </c>
      <c r="U25" s="705">
        <f>H25</f>
        <v>100</v>
      </c>
      <c r="V25" s="704" t="s">
        <v>14</v>
      </c>
      <c r="W25" s="705">
        <f>J25</f>
        <v>100</v>
      </c>
      <c r="X25" s="1354"/>
      <c r="Y25" s="370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4"/>
      <c r="Q26" s="1351"/>
      <c r="R26" s="704"/>
      <c r="S26" s="705"/>
      <c r="T26" s="704"/>
      <c r="U26" s="705"/>
      <c r="V26" s="704"/>
      <c r="W26" s="705"/>
      <c r="X26" s="1354"/>
      <c r="Y26" s="370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4"/>
      <c r="Q27" s="1342" t="str">
        <f t="shared" si="8"/>
        <v>公共配套设施</v>
      </c>
      <c r="R27" s="700" t="s">
        <v>14</v>
      </c>
      <c r="S27" s="701">
        <f>F27</f>
        <v>100</v>
      </c>
      <c r="T27" s="700" t="s">
        <v>14</v>
      </c>
      <c r="U27" s="701">
        <f>H27</f>
        <v>100</v>
      </c>
      <c r="V27" s="700" t="s">
        <v>14</v>
      </c>
      <c r="W27" s="701">
        <f>J27</f>
        <v>100</v>
      </c>
      <c r="X27" s="702"/>
      <c r="Y27" s="370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4"/>
      <c r="Q28" s="1342"/>
      <c r="R28" s="700"/>
      <c r="S28" s="701"/>
      <c r="T28" s="700"/>
      <c r="U28" s="701"/>
      <c r="V28" s="700"/>
      <c r="W28" s="701"/>
      <c r="X28" s="702"/>
      <c r="Y28" s="370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4"/>
      <c r="Q29" s="1342" t="str">
        <f t="shared" ref="Q29" si="9">B29</f>
        <v>基础设施水平</v>
      </c>
      <c r="R29" s="700" t="s">
        <v>14</v>
      </c>
      <c r="S29" s="701">
        <f>F29</f>
        <v>100</v>
      </c>
      <c r="T29" s="700" t="s">
        <v>14</v>
      </c>
      <c r="U29" s="701">
        <f>H29</f>
        <v>100</v>
      </c>
      <c r="V29" s="700" t="s">
        <v>14</v>
      </c>
      <c r="W29" s="701">
        <f>J29</f>
        <v>100</v>
      </c>
      <c r="X29" s="702"/>
      <c r="Y29" s="370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4"/>
      <c r="Q30" s="1342"/>
      <c r="R30" s="700"/>
      <c r="S30" s="701"/>
      <c r="T30" s="700"/>
      <c r="U30" s="701"/>
      <c r="V30" s="700"/>
      <c r="W30" s="701"/>
      <c r="X30" s="702"/>
      <c r="Y30" s="370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4"/>
      <c r="Q32" s="1351" t="str">
        <f t="shared" si="8"/>
        <v>毗邻道路的类型与等级</v>
      </c>
      <c r="R32" s="704" t="s">
        <v>14</v>
      </c>
      <c r="S32" s="705">
        <f t="shared" si="10"/>
        <v>100</v>
      </c>
      <c r="T32" s="704" t="s">
        <v>14</v>
      </c>
      <c r="U32" s="705">
        <f t="shared" si="11"/>
        <v>100</v>
      </c>
      <c r="V32" s="704" t="s">
        <v>14</v>
      </c>
      <c r="W32" s="705">
        <f t="shared" si="12"/>
        <v>100</v>
      </c>
      <c r="X32" s="1354"/>
      <c r="Y32" s="370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4"/>
      <c r="Q33" s="1351"/>
      <c r="R33" s="704"/>
      <c r="S33" s="705"/>
      <c r="T33" s="704"/>
      <c r="U33" s="705"/>
      <c r="V33" s="704"/>
      <c r="W33" s="705"/>
      <c r="X33" s="1354"/>
      <c r="Y33" s="370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4"/>
      <c r="Q34" s="1351" t="str">
        <f t="shared" si="8"/>
        <v>土地级别</v>
      </c>
      <c r="R34" s="704" t="s">
        <v>14</v>
      </c>
      <c r="S34" s="705">
        <f t="shared" si="10"/>
        <v>100</v>
      </c>
      <c r="T34" s="704" t="s">
        <v>14</v>
      </c>
      <c r="U34" s="705">
        <f t="shared" si="11"/>
        <v>100</v>
      </c>
      <c r="V34" s="704" t="s">
        <v>14</v>
      </c>
      <c r="W34" s="705">
        <f t="shared" si="12"/>
        <v>100</v>
      </c>
      <c r="X34" s="1354"/>
      <c r="Y34" s="370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4"/>
      <c r="Q35" s="1351">
        <f t="shared" si="8"/>
        <v>111</v>
      </c>
      <c r="R35" s="704" t="s">
        <v>14</v>
      </c>
      <c r="S35" s="705">
        <f t="shared" si="10"/>
        <v>100</v>
      </c>
      <c r="T35" s="704" t="s">
        <v>14</v>
      </c>
      <c r="U35" s="705">
        <f t="shared" si="11"/>
        <v>100</v>
      </c>
      <c r="V35" s="704" t="s">
        <v>14</v>
      </c>
      <c r="W35" s="705">
        <f t="shared" si="12"/>
        <v>100</v>
      </c>
      <c r="X35" s="1354"/>
      <c r="Y35" s="370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2" t="s">
        <v>1696</v>
      </c>
      <c r="Q36" s="1351">
        <f t="shared" si="8"/>
        <v>111</v>
      </c>
      <c r="R36" s="704" t="s">
        <v>14</v>
      </c>
      <c r="S36" s="705">
        <f t="shared" si="10"/>
        <v>100</v>
      </c>
      <c r="T36" s="704" t="s">
        <v>14</v>
      </c>
      <c r="U36" s="705">
        <f t="shared" si="11"/>
        <v>100</v>
      </c>
      <c r="V36" s="704" t="s">
        <v>14</v>
      </c>
      <c r="W36" s="705">
        <f t="shared" si="12"/>
        <v>100</v>
      </c>
      <c r="X36" s="1354"/>
      <c r="Y36" s="370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8"/>
      <c r="Q37" s="1351">
        <f t="shared" si="8"/>
        <v>111</v>
      </c>
      <c r="R37" s="707" t="s">
        <v>14</v>
      </c>
      <c r="S37" s="708">
        <f t="shared" si="10"/>
        <v>100</v>
      </c>
      <c r="T37" s="707" t="s">
        <v>14</v>
      </c>
      <c r="U37" s="708">
        <f t="shared" si="11"/>
        <v>100</v>
      </c>
      <c r="V37" s="707" t="s">
        <v>14</v>
      </c>
      <c r="W37" s="708">
        <f t="shared" si="12"/>
        <v>100</v>
      </c>
      <c r="X37" s="709"/>
      <c r="Y37" s="3708"/>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8"/>
      <c r="Q38" s="1351" t="str">
        <f>B38</f>
        <v>宗地面积</v>
      </c>
      <c r="R38" s="704" t="s">
        <v>14</v>
      </c>
      <c r="S38" s="705" t="e">
        <f t="shared" si="10"/>
        <v>#N/A</v>
      </c>
      <c r="T38" s="704" t="s">
        <v>14</v>
      </c>
      <c r="U38" s="705" t="e">
        <f t="shared" si="11"/>
        <v>#N/A</v>
      </c>
      <c r="V38" s="704" t="s">
        <v>14</v>
      </c>
      <c r="W38" s="705" t="e">
        <f t="shared" si="12"/>
        <v>#N/A</v>
      </c>
      <c r="X38" s="1354"/>
      <c r="Y38" s="370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8"/>
      <c r="Q39" s="1351" t="str">
        <f t="shared" ref="Q39:Q45" si="14">B39</f>
        <v>宗地形状</v>
      </c>
      <c r="R39" s="704" t="s">
        <v>14</v>
      </c>
      <c r="S39" s="705">
        <f t="shared" si="10"/>
        <v>100</v>
      </c>
      <c r="T39" s="704" t="s">
        <v>14</v>
      </c>
      <c r="U39" s="705">
        <f t="shared" si="11"/>
        <v>100</v>
      </c>
      <c r="V39" s="704" t="s">
        <v>14</v>
      </c>
      <c r="W39" s="705">
        <f t="shared" si="12"/>
        <v>100</v>
      </c>
      <c r="X39" s="1354"/>
      <c r="Y39" s="370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8"/>
      <c r="Q40" s="1351" t="str">
        <f t="shared" si="14"/>
        <v>临街宽度及深度</v>
      </c>
      <c r="R40" s="704" t="s">
        <v>14</v>
      </c>
      <c r="S40" s="705">
        <f t="shared" si="10"/>
        <v>100</v>
      </c>
      <c r="T40" s="704" t="s">
        <v>14</v>
      </c>
      <c r="U40" s="705">
        <f t="shared" si="11"/>
        <v>100</v>
      </c>
      <c r="V40" s="704" t="s">
        <v>14</v>
      </c>
      <c r="W40" s="705">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8"/>
      <c r="Q41" s="1351" t="str">
        <f t="shared" si="14"/>
        <v>宗地开发程度</v>
      </c>
      <c r="R41" s="700" t="s">
        <v>14</v>
      </c>
      <c r="S41" s="701">
        <f t="shared" si="10"/>
        <v>100</v>
      </c>
      <c r="T41" s="700" t="s">
        <v>14</v>
      </c>
      <c r="U41" s="701">
        <f t="shared" si="11"/>
        <v>100</v>
      </c>
      <c r="V41" s="700" t="s">
        <v>14</v>
      </c>
      <c r="W41" s="701">
        <f t="shared" si="12"/>
        <v>100</v>
      </c>
      <c r="X41" s="702"/>
      <c r="Y41" s="370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8" t="s">
        <v>1696</v>
      </c>
      <c r="Q42" s="1351" t="str">
        <f t="shared" si="14"/>
        <v>工程地质条件</v>
      </c>
      <c r="R42" s="704" t="s">
        <v>14</v>
      </c>
      <c r="S42" s="705">
        <f t="shared" si="10"/>
        <v>100</v>
      </c>
      <c r="T42" s="704" t="s">
        <v>14</v>
      </c>
      <c r="U42" s="705">
        <f t="shared" si="11"/>
        <v>100</v>
      </c>
      <c r="V42" s="704" t="s">
        <v>14</v>
      </c>
      <c r="W42" s="705">
        <f t="shared" si="12"/>
        <v>100</v>
      </c>
      <c r="X42" s="1354"/>
      <c r="Y42" s="370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8"/>
      <c r="Q43" s="1351">
        <f t="shared" si="14"/>
        <v>111</v>
      </c>
      <c r="R43" s="704" t="s">
        <v>14</v>
      </c>
      <c r="S43" s="705">
        <f t="shared" si="10"/>
        <v>100</v>
      </c>
      <c r="T43" s="704" t="s">
        <v>14</v>
      </c>
      <c r="U43" s="705">
        <f t="shared" si="11"/>
        <v>100</v>
      </c>
      <c r="V43" s="704" t="s">
        <v>14</v>
      </c>
      <c r="W43" s="705">
        <f t="shared" si="12"/>
        <v>100</v>
      </c>
      <c r="X43" s="1354"/>
      <c r="Y43" s="370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8"/>
      <c r="Q44" s="1351">
        <f t="shared" si="14"/>
        <v>111</v>
      </c>
      <c r="R44" s="704" t="s">
        <v>14</v>
      </c>
      <c r="S44" s="705">
        <f t="shared" si="10"/>
        <v>100</v>
      </c>
      <c r="T44" s="704" t="s">
        <v>14</v>
      </c>
      <c r="U44" s="705">
        <f t="shared" si="11"/>
        <v>100</v>
      </c>
      <c r="V44" s="704" t="s">
        <v>14</v>
      </c>
      <c r="W44" s="705">
        <f t="shared" si="12"/>
        <v>100</v>
      </c>
      <c r="X44" s="1354"/>
      <c r="Y44" s="370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8"/>
      <c r="Q45" s="1351">
        <f t="shared" si="14"/>
        <v>111</v>
      </c>
      <c r="R45" s="707" t="s">
        <v>14</v>
      </c>
      <c r="S45" s="708">
        <f t="shared" si="10"/>
        <v>100</v>
      </c>
      <c r="T45" s="707" t="s">
        <v>14</v>
      </c>
      <c r="U45" s="708">
        <f t="shared" si="11"/>
        <v>100</v>
      </c>
      <c r="V45" s="707" t="s">
        <v>14</v>
      </c>
      <c r="W45" s="708">
        <f t="shared" si="12"/>
        <v>100</v>
      </c>
      <c r="X45" s="709"/>
      <c r="Y45" s="3708"/>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1" t="str">
        <f>A46</f>
        <v>成交单价</v>
      </c>
      <c r="Q46" s="3701"/>
      <c r="R46" s="3732">
        <f>E46</f>
        <v>0</v>
      </c>
      <c r="S46" s="3732"/>
      <c r="T46" s="3732">
        <f>G46</f>
        <v>0</v>
      </c>
      <c r="U46" s="3732"/>
      <c r="V46" s="3732">
        <f>I46</f>
        <v>0</v>
      </c>
      <c r="W46" s="3732"/>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64" t="e">
        <f>ROUND(PRODUCT(R46,AA7:AA45),0)</f>
        <v>#DIV/0!</v>
      </c>
      <c r="S47" s="3764"/>
      <c r="T47" s="3764" t="e">
        <f>ROUND(PRODUCT(T46,AB7:AB45),0)</f>
        <v>#DIV/0!</v>
      </c>
      <c r="U47" s="3764"/>
      <c r="V47" s="3764" t="e">
        <f>ROUND(PRODUCT(V46,AC7:AC45),0)</f>
        <v>#DIV/0!</v>
      </c>
      <c r="W47" s="376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8" t="str">
        <f>A48</f>
        <v>估价对象XX用房的比较价值（楼面单价，元/平方米）</v>
      </c>
      <c r="Q48" s="3699"/>
      <c r="R48" s="3765" t="e">
        <f>ROUND(IF(D47="简单平均",AVERAGE(R47:W47),R47*F47+T47*H47+V47*J47),0)</f>
        <v>#DIV/0!</v>
      </c>
      <c r="S48" s="3765"/>
      <c r="T48" s="3765"/>
      <c r="U48" s="3765"/>
      <c r="V48" s="3765"/>
      <c r="W48" s="376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716" t="s">
        <v>1887</v>
      </c>
      <c r="H55" s="376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930.34999999999991</v>
      </c>
      <c r="F56" s="885" t="e">
        <f t="shared" ref="F56:F64" si="15">ROUND(B56*E56/10000,0)</f>
        <v>#DIV/0!</v>
      </c>
      <c r="G56" s="3712"/>
      <c r="H56" s="370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0.7</v>
      </c>
      <c r="D57" s="944">
        <v>0.25</v>
      </c>
      <c r="E57" s="642"/>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0.4</v>
      </c>
      <c r="D58" s="944">
        <v>0.25</v>
      </c>
      <c r="E58" s="642"/>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0.3</v>
      </c>
      <c r="D59" s="944">
        <v>0.25</v>
      </c>
      <c r="E59" s="642"/>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0.2</v>
      </c>
      <c r="D63" s="944">
        <v>0.25</v>
      </c>
      <c r="E63" s="217">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930.34999999999991</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2024-9-1</v>
      </c>
      <c r="D67" s="691">
        <f>EDATE(C67,-3)</f>
        <v>45444</v>
      </c>
      <c r="E67" s="691">
        <f>EDATE(D67,-3)</f>
        <v>45352</v>
      </c>
      <c r="F67" s="691">
        <f t="shared" ref="F67:O67" si="18">EDATE(E67,-3)</f>
        <v>45261</v>
      </c>
      <c r="G67" s="691">
        <f t="shared" si="18"/>
        <v>45170</v>
      </c>
      <c r="H67" s="691">
        <f t="shared" si="18"/>
        <v>45078</v>
      </c>
      <c r="I67" s="691">
        <f t="shared" si="18"/>
        <v>44986</v>
      </c>
      <c r="J67" s="691">
        <f t="shared" si="18"/>
        <v>44896</v>
      </c>
      <c r="K67" s="691">
        <f t="shared" si="18"/>
        <v>44805</v>
      </c>
      <c r="L67" s="691">
        <f t="shared" si="18"/>
        <v>44713</v>
      </c>
      <c r="M67" s="691">
        <f t="shared" si="18"/>
        <v>44621</v>
      </c>
      <c r="N67" s="691">
        <f t="shared" si="18"/>
        <v>44531</v>
      </c>
      <c r="O67" s="691">
        <f t="shared" si="18"/>
        <v>44440</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4"/>
      <c r="M5" s="2715"/>
      <c r="N5" s="2715"/>
      <c r="O5" s="2715"/>
      <c r="P5" s="3722"/>
      <c r="Q5" s="3723"/>
      <c r="R5" s="3728"/>
      <c r="S5" s="3729"/>
      <c r="T5" s="3728"/>
      <c r="U5" s="3729"/>
      <c r="V5" s="3732"/>
      <c r="W5" s="3732"/>
      <c r="X5" s="1354"/>
      <c r="Y5" s="3728"/>
      <c r="Z5" s="3729"/>
      <c r="AA5" s="3714"/>
      <c r="AB5" s="3714"/>
      <c r="AC5" s="3714"/>
    </row>
    <row r="6" spans="1:29" ht="15.75" thickBot="1">
      <c r="A6" s="360"/>
      <c r="B6" s="361"/>
      <c r="C6" s="3767" t="s">
        <v>1919</v>
      </c>
      <c r="D6" s="3768"/>
      <c r="E6" s="3769" t="s">
        <v>1919</v>
      </c>
      <c r="F6" s="3770"/>
      <c r="G6" s="3767" t="s">
        <v>1919</v>
      </c>
      <c r="H6" s="3768"/>
      <c r="I6" s="3767" t="s">
        <v>1919</v>
      </c>
      <c r="J6" s="3768"/>
      <c r="K6" s="559" t="s">
        <v>1678</v>
      </c>
      <c r="L6" s="2714"/>
      <c r="M6" s="2715"/>
      <c r="N6" s="2715"/>
      <c r="O6" s="2715"/>
      <c r="P6" s="3724"/>
      <c r="Q6" s="3725"/>
      <c r="R6" s="3728"/>
      <c r="S6" s="3729"/>
      <c r="T6" s="3730"/>
      <c r="U6" s="3731"/>
      <c r="V6" s="3732"/>
      <c r="W6" s="3732"/>
      <c r="X6" s="1354"/>
      <c r="Y6" s="3730"/>
      <c r="Z6" s="3731"/>
      <c r="AA6" s="3715"/>
      <c r="AB6" s="3715"/>
      <c r="AC6" s="3715"/>
    </row>
    <row r="7" spans="1:29" s="108" customFormat="1" ht="15.75" thickBot="1">
      <c r="A7" s="362" t="s">
        <v>1679</v>
      </c>
      <c r="B7" s="363"/>
      <c r="C7" s="364">
        <f>'数据-取费表'!B2</f>
        <v>45554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3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7" t="s">
        <v>1683</v>
      </c>
      <c r="Q8" s="3738"/>
      <c r="R8" s="700" t="s">
        <v>14</v>
      </c>
      <c r="S8" s="701">
        <f t="shared" si="0"/>
        <v>0</v>
      </c>
      <c r="T8" s="700" t="s">
        <v>14</v>
      </c>
      <c r="U8" s="701">
        <f t="shared" si="1"/>
        <v>0</v>
      </c>
      <c r="V8" s="700" t="s">
        <v>14</v>
      </c>
      <c r="W8" s="701">
        <f t="shared" si="2"/>
        <v>0</v>
      </c>
      <c r="X8" s="702"/>
      <c r="Y8" s="3737" t="s">
        <v>1683</v>
      </c>
      <c r="Z8" s="373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8"/>
      <c r="M10" s="2719"/>
      <c r="N10" s="2719"/>
      <c r="O10" s="2772"/>
      <c r="P10" s="3701"/>
      <c r="Q10" s="1342" t="str">
        <f t="shared" si="6"/>
        <v>土地使用年限（年）</v>
      </c>
      <c r="R10" s="700" t="s">
        <v>14</v>
      </c>
      <c r="S10" s="701">
        <f t="shared" si="0"/>
        <v>127</v>
      </c>
      <c r="T10" s="700" t="s">
        <v>14</v>
      </c>
      <c r="U10" s="701">
        <f t="shared" si="1"/>
        <v>127</v>
      </c>
      <c r="V10" s="700" t="s">
        <v>14</v>
      </c>
      <c r="W10" s="701">
        <f t="shared" si="2"/>
        <v>127</v>
      </c>
      <c r="X10" s="702"/>
      <c r="Y10" s="3557"/>
      <c r="Z10" s="52" t="str">
        <f t="shared" si="7"/>
        <v>土地使用年限（年）</v>
      </c>
      <c r="AA10" s="703">
        <f t="shared" si="3"/>
        <v>0.78740157480314965</v>
      </c>
      <c r="AB10" s="703">
        <f t="shared" si="4"/>
        <v>0.78740157480314965</v>
      </c>
      <c r="AC10" s="703">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4"/>
      <c r="Q16" s="1351"/>
      <c r="R16" s="704"/>
      <c r="S16" s="705"/>
      <c r="T16" s="704"/>
      <c r="U16" s="705"/>
      <c r="V16" s="704"/>
      <c r="W16" s="705"/>
      <c r="X16" s="1354"/>
      <c r="Y16" s="370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4"/>
      <c r="Q18" s="1351"/>
      <c r="R18" s="704"/>
      <c r="S18" s="705"/>
      <c r="T18" s="704"/>
      <c r="U18" s="705"/>
      <c r="V18" s="704"/>
      <c r="W18" s="705"/>
      <c r="X18" s="1354"/>
      <c r="Y18" s="370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4"/>
      <c r="Q19" s="1351" t="str">
        <f t="shared" ref="Q19:Q33" si="8">B19</f>
        <v>区域土地利用方向</v>
      </c>
      <c r="R19" s="704" t="s">
        <v>14</v>
      </c>
      <c r="S19" s="705">
        <f>F19</f>
        <v>100</v>
      </c>
      <c r="T19" s="704" t="s">
        <v>14</v>
      </c>
      <c r="U19" s="705">
        <f>H19</f>
        <v>100</v>
      </c>
      <c r="V19" s="704" t="s">
        <v>14</v>
      </c>
      <c r="W19" s="705">
        <f>J19</f>
        <v>100</v>
      </c>
      <c r="X19" s="1354"/>
      <c r="Y19" s="370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04"/>
      <c r="Q20" s="1351"/>
      <c r="R20" s="704"/>
      <c r="S20" s="705"/>
      <c r="T20" s="704"/>
      <c r="U20" s="705"/>
      <c r="V20" s="704"/>
      <c r="W20" s="705"/>
      <c r="X20" s="1354"/>
      <c r="Y20" s="370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4"/>
      <c r="Q21" s="1351" t="str">
        <f t="shared" si="8"/>
        <v>环境状况</v>
      </c>
      <c r="R21" s="704" t="s">
        <v>14</v>
      </c>
      <c r="S21" s="705">
        <f>F21</f>
        <v>100</v>
      </c>
      <c r="T21" s="704" t="s">
        <v>14</v>
      </c>
      <c r="U21" s="705">
        <f>H21</f>
        <v>100</v>
      </c>
      <c r="V21" s="704" t="s">
        <v>14</v>
      </c>
      <c r="W21" s="705">
        <f>J21</f>
        <v>100</v>
      </c>
      <c r="X21" s="1354"/>
      <c r="Y21" s="370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4"/>
      <c r="Q22" s="1351"/>
      <c r="R22" s="704"/>
      <c r="S22" s="705"/>
      <c r="T22" s="704"/>
      <c r="U22" s="705"/>
      <c r="V22" s="704"/>
      <c r="W22" s="705"/>
      <c r="X22" s="1354"/>
      <c r="Y22" s="370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4"/>
      <c r="Q23" s="1342" t="str">
        <f t="shared" si="8"/>
        <v>公共配套设施</v>
      </c>
      <c r="R23" s="700" t="s">
        <v>14</v>
      </c>
      <c r="S23" s="701">
        <f>F23</f>
        <v>100</v>
      </c>
      <c r="T23" s="700" t="s">
        <v>14</v>
      </c>
      <c r="U23" s="701">
        <f>H23</f>
        <v>100</v>
      </c>
      <c r="V23" s="700" t="s">
        <v>14</v>
      </c>
      <c r="W23" s="701">
        <f>J23</f>
        <v>100</v>
      </c>
      <c r="X23" s="702"/>
      <c r="Y23" s="370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4"/>
      <c r="Q24" s="1342"/>
      <c r="R24" s="700"/>
      <c r="S24" s="701"/>
      <c r="T24" s="700"/>
      <c r="U24" s="701"/>
      <c r="V24" s="700"/>
      <c r="W24" s="701"/>
      <c r="X24" s="702"/>
      <c r="Y24" s="3704"/>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4"/>
      <c r="Q25" s="1342" t="str">
        <f t="shared" ref="Q25" si="9">B25</f>
        <v>基础设施水平</v>
      </c>
      <c r="R25" s="700" t="s">
        <v>14</v>
      </c>
      <c r="S25" s="701">
        <f>F25</f>
        <v>100</v>
      </c>
      <c r="T25" s="700" t="s">
        <v>14</v>
      </c>
      <c r="U25" s="701">
        <f>H25</f>
        <v>100</v>
      </c>
      <c r="V25" s="700" t="s">
        <v>14</v>
      </c>
      <c r="W25" s="701">
        <f>J25</f>
        <v>100</v>
      </c>
      <c r="X25" s="702"/>
      <c r="Y25" s="370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4"/>
      <c r="Q26" s="1342"/>
      <c r="R26" s="700"/>
      <c r="S26" s="701"/>
      <c r="T26" s="700"/>
      <c r="U26" s="701"/>
      <c r="V26" s="700"/>
      <c r="W26" s="701"/>
      <c r="X26" s="702"/>
      <c r="Y26" s="370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4"/>
      <c r="Q28" s="1351" t="str">
        <f t="shared" si="8"/>
        <v>毗邻道路的类型与等级</v>
      </c>
      <c r="R28" s="704" t="s">
        <v>14</v>
      </c>
      <c r="S28" s="705">
        <f t="shared" si="10"/>
        <v>100</v>
      </c>
      <c r="T28" s="704" t="s">
        <v>14</v>
      </c>
      <c r="U28" s="705">
        <f t="shared" si="11"/>
        <v>100</v>
      </c>
      <c r="V28" s="704" t="s">
        <v>14</v>
      </c>
      <c r="W28" s="705">
        <f t="shared" si="12"/>
        <v>100</v>
      </c>
      <c r="X28" s="1354"/>
      <c r="Y28" s="370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4"/>
      <c r="Q29" s="1351"/>
      <c r="R29" s="704"/>
      <c r="S29" s="705"/>
      <c r="T29" s="704"/>
      <c r="U29" s="705"/>
      <c r="V29" s="704"/>
      <c r="W29" s="705"/>
      <c r="X29" s="1354"/>
      <c r="Y29" s="370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4"/>
      <c r="Q30" s="1351" t="str">
        <f t="shared" si="8"/>
        <v>土地级别</v>
      </c>
      <c r="R30" s="704" t="s">
        <v>14</v>
      </c>
      <c r="S30" s="705">
        <f t="shared" si="10"/>
        <v>100</v>
      </c>
      <c r="T30" s="704" t="s">
        <v>14</v>
      </c>
      <c r="U30" s="705">
        <f t="shared" si="11"/>
        <v>100</v>
      </c>
      <c r="V30" s="704" t="s">
        <v>14</v>
      </c>
      <c r="W30" s="705">
        <f t="shared" si="12"/>
        <v>100</v>
      </c>
      <c r="X30" s="1354"/>
      <c r="Y30" s="370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4"/>
      <c r="Q31" s="1351">
        <f t="shared" si="8"/>
        <v>111</v>
      </c>
      <c r="R31" s="704" t="s">
        <v>14</v>
      </c>
      <c r="S31" s="705">
        <f t="shared" si="10"/>
        <v>100</v>
      </c>
      <c r="T31" s="704" t="s">
        <v>14</v>
      </c>
      <c r="U31" s="705">
        <f t="shared" si="11"/>
        <v>100</v>
      </c>
      <c r="V31" s="704" t="s">
        <v>14</v>
      </c>
      <c r="W31" s="705">
        <f t="shared" si="12"/>
        <v>100</v>
      </c>
      <c r="X31" s="1354"/>
      <c r="Y31" s="370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2" t="s">
        <v>1696</v>
      </c>
      <c r="Q32" s="1351">
        <f t="shared" si="8"/>
        <v>111</v>
      </c>
      <c r="R32" s="704" t="s">
        <v>14</v>
      </c>
      <c r="S32" s="705">
        <f t="shared" si="10"/>
        <v>100</v>
      </c>
      <c r="T32" s="704" t="s">
        <v>14</v>
      </c>
      <c r="U32" s="705">
        <f t="shared" si="11"/>
        <v>100</v>
      </c>
      <c r="V32" s="704" t="s">
        <v>14</v>
      </c>
      <c r="W32" s="705">
        <f t="shared" si="12"/>
        <v>100</v>
      </c>
      <c r="X32" s="1354"/>
      <c r="Y32" s="370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8"/>
      <c r="Q33" s="1351">
        <f t="shared" si="8"/>
        <v>111</v>
      </c>
      <c r="R33" s="707" t="s">
        <v>14</v>
      </c>
      <c r="S33" s="708">
        <f t="shared" si="10"/>
        <v>100</v>
      </c>
      <c r="T33" s="707" t="s">
        <v>14</v>
      </c>
      <c r="U33" s="708">
        <f t="shared" si="11"/>
        <v>100</v>
      </c>
      <c r="V33" s="707" t="s">
        <v>14</v>
      </c>
      <c r="W33" s="708">
        <f t="shared" si="12"/>
        <v>100</v>
      </c>
      <c r="X33" s="709"/>
      <c r="Y33" s="3708"/>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8"/>
      <c r="Q34" s="1351" t="str">
        <f>B34</f>
        <v>宗地面积</v>
      </c>
      <c r="R34" s="704" t="s">
        <v>14</v>
      </c>
      <c r="S34" s="705" t="e">
        <f t="shared" si="10"/>
        <v>#N/A</v>
      </c>
      <c r="T34" s="704" t="s">
        <v>14</v>
      </c>
      <c r="U34" s="705" t="e">
        <f t="shared" si="11"/>
        <v>#N/A</v>
      </c>
      <c r="V34" s="704" t="s">
        <v>14</v>
      </c>
      <c r="W34" s="705" t="e">
        <f t="shared" si="12"/>
        <v>#N/A</v>
      </c>
      <c r="X34" s="1354"/>
      <c r="Y34" s="370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8"/>
      <c r="Q35" s="1351" t="str">
        <f t="shared" ref="Q35:Q40" si="14">B35</f>
        <v>宗地形状</v>
      </c>
      <c r="R35" s="704" t="s">
        <v>14</v>
      </c>
      <c r="S35" s="705">
        <f t="shared" si="10"/>
        <v>100</v>
      </c>
      <c r="T35" s="704" t="s">
        <v>14</v>
      </c>
      <c r="U35" s="705">
        <f t="shared" si="11"/>
        <v>100</v>
      </c>
      <c r="V35" s="704" t="s">
        <v>14</v>
      </c>
      <c r="W35" s="705">
        <f t="shared" si="12"/>
        <v>100</v>
      </c>
      <c r="X35" s="1354"/>
      <c r="Y35" s="370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8"/>
      <c r="Q36" s="1351" t="str">
        <f t="shared" si="14"/>
        <v>宗地开发程度</v>
      </c>
      <c r="R36" s="700" t="s">
        <v>14</v>
      </c>
      <c r="S36" s="701">
        <f t="shared" si="10"/>
        <v>100</v>
      </c>
      <c r="T36" s="700" t="s">
        <v>14</v>
      </c>
      <c r="U36" s="701">
        <f t="shared" si="11"/>
        <v>100</v>
      </c>
      <c r="V36" s="700" t="s">
        <v>14</v>
      </c>
      <c r="W36" s="701">
        <f t="shared" si="12"/>
        <v>100</v>
      </c>
      <c r="X36" s="702"/>
      <c r="Y36" s="370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8" t="s">
        <v>1696</v>
      </c>
      <c r="Q37" s="1351" t="str">
        <f t="shared" si="14"/>
        <v>工程地质条件</v>
      </c>
      <c r="R37" s="704" t="s">
        <v>14</v>
      </c>
      <c r="S37" s="705">
        <f t="shared" si="10"/>
        <v>100</v>
      </c>
      <c r="T37" s="704" t="s">
        <v>14</v>
      </c>
      <c r="U37" s="705">
        <f t="shared" si="11"/>
        <v>100</v>
      </c>
      <c r="V37" s="704" t="s">
        <v>14</v>
      </c>
      <c r="W37" s="705">
        <f t="shared" si="12"/>
        <v>100</v>
      </c>
      <c r="X37" s="1354"/>
      <c r="Y37" s="370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8"/>
      <c r="Q38" s="1351">
        <f t="shared" si="14"/>
        <v>111</v>
      </c>
      <c r="R38" s="704" t="s">
        <v>14</v>
      </c>
      <c r="S38" s="705">
        <f t="shared" si="10"/>
        <v>100</v>
      </c>
      <c r="T38" s="704" t="s">
        <v>14</v>
      </c>
      <c r="U38" s="705">
        <f t="shared" si="11"/>
        <v>100</v>
      </c>
      <c r="V38" s="704" t="s">
        <v>14</v>
      </c>
      <c r="W38" s="705">
        <f t="shared" si="12"/>
        <v>100</v>
      </c>
      <c r="X38" s="1354"/>
      <c r="Y38" s="370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8"/>
      <c r="Q39" s="1351">
        <f t="shared" si="14"/>
        <v>111</v>
      </c>
      <c r="R39" s="704" t="s">
        <v>14</v>
      </c>
      <c r="S39" s="705">
        <f t="shared" si="10"/>
        <v>100</v>
      </c>
      <c r="T39" s="704" t="s">
        <v>14</v>
      </c>
      <c r="U39" s="705">
        <f t="shared" si="11"/>
        <v>100</v>
      </c>
      <c r="V39" s="704" t="s">
        <v>14</v>
      </c>
      <c r="W39" s="705">
        <f t="shared" si="12"/>
        <v>100</v>
      </c>
      <c r="X39" s="1354"/>
      <c r="Y39" s="370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8"/>
      <c r="Q40" s="1351">
        <f t="shared" si="14"/>
        <v>111</v>
      </c>
      <c r="R40" s="707" t="s">
        <v>14</v>
      </c>
      <c r="S40" s="708">
        <f t="shared" si="10"/>
        <v>100</v>
      </c>
      <c r="T40" s="707" t="s">
        <v>14</v>
      </c>
      <c r="U40" s="708">
        <f t="shared" si="11"/>
        <v>100</v>
      </c>
      <c r="V40" s="707" t="s">
        <v>14</v>
      </c>
      <c r="W40" s="708">
        <f t="shared" si="12"/>
        <v>100</v>
      </c>
      <c r="X40" s="709"/>
      <c r="Y40" s="3708"/>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1" t="str">
        <f>A41</f>
        <v>成交单价</v>
      </c>
      <c r="Q41" s="3701"/>
      <c r="R41" s="3732">
        <f>E41</f>
        <v>0</v>
      </c>
      <c r="S41" s="3732"/>
      <c r="T41" s="3732">
        <f>G41</f>
        <v>0</v>
      </c>
      <c r="U41" s="3732"/>
      <c r="V41" s="3732">
        <f>I41</f>
        <v>0</v>
      </c>
      <c r="W41" s="3732"/>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64" t="e">
        <f>ROUND(PRODUCT(R41,AA7:AA40),0)</f>
        <v>#DIV/0!</v>
      </c>
      <c r="S42" s="3764"/>
      <c r="T42" s="3764" t="e">
        <f>ROUND(PRODUCT(T41,AB7:AB40),0)</f>
        <v>#DIV/0!</v>
      </c>
      <c r="U42" s="3764"/>
      <c r="V42" s="3764" t="e">
        <f>ROUND(PRODUCT(V41,AC7:AC40),0)</f>
        <v>#DIV/0!</v>
      </c>
      <c r="W42" s="376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8" t="str">
        <f>A43</f>
        <v>估价对象XX用房的比较价值（楼面单价，元/平方米）</v>
      </c>
      <c r="Q43" s="3699"/>
      <c r="R43" s="3765" t="e">
        <f>ROUND(IF(D42="简单平均",AVERAGE(R42:W42),R42*F42+T42*H42+V42*J42),0)</f>
        <v>#DIV/0!</v>
      </c>
      <c r="S43" s="3765"/>
      <c r="T43" s="3765"/>
      <c r="U43" s="3765"/>
      <c r="V43" s="3765"/>
      <c r="W43" s="376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16" t="s">
        <v>1887</v>
      </c>
      <c r="H50" s="376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930.34999999999991</v>
      </c>
      <c r="F51" s="639" t="e">
        <f t="shared" ref="F51:F60" si="15">ROUND(B51*E51/10000,0)</f>
        <v>#DIV/0!</v>
      </c>
      <c r="G51" s="3712"/>
      <c r="H51" s="370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0.7</v>
      </c>
      <c r="D52" s="944">
        <v>0.25</v>
      </c>
      <c r="E52" s="642"/>
      <c r="F52" s="639"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0.4</v>
      </c>
      <c r="D53" s="944">
        <v>0.25</v>
      </c>
      <c r="E53" s="642"/>
      <c r="F53" s="639"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0.3</v>
      </c>
      <c r="D54" s="944">
        <v>0.25</v>
      </c>
      <c r="E54" s="642"/>
      <c r="F54" s="639"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0.2</v>
      </c>
      <c r="D59" s="944">
        <v>0.25</v>
      </c>
      <c r="E59" s="217">
        <f>'数据-汇总表'!E14</f>
        <v>0</v>
      </c>
      <c r="F59" s="639"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2024-9-1</v>
      </c>
      <c r="D63" s="691">
        <f>EDATE(C63,-3)</f>
        <v>45444</v>
      </c>
      <c r="E63" s="691">
        <f>EDATE(D63,-3)</f>
        <v>45352</v>
      </c>
      <c r="F63" s="691">
        <f t="shared" ref="F63:O63" si="18">EDATE(E63,-3)</f>
        <v>45261</v>
      </c>
      <c r="G63" s="691">
        <f t="shared" si="18"/>
        <v>45170</v>
      </c>
      <c r="H63" s="691">
        <f t="shared" si="18"/>
        <v>45078</v>
      </c>
      <c r="I63" s="691">
        <f t="shared" si="18"/>
        <v>44986</v>
      </c>
      <c r="J63" s="691">
        <f t="shared" si="18"/>
        <v>44896</v>
      </c>
      <c r="K63" s="691">
        <f t="shared" si="18"/>
        <v>44805</v>
      </c>
      <c r="L63" s="691">
        <f t="shared" si="18"/>
        <v>44713</v>
      </c>
      <c r="M63" s="691">
        <f t="shared" si="18"/>
        <v>44621</v>
      </c>
      <c r="N63" s="691">
        <f t="shared" si="18"/>
        <v>44531</v>
      </c>
      <c r="O63" s="691">
        <f t="shared" si="18"/>
        <v>44440</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90" zoomScaleNormal="70" zoomScaleSheetLayoutView="90" workbookViewId="0">
      <selection activeCell="G45" sqref="G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3395</v>
      </c>
      <c r="E1" s="3424" t="s">
        <v>3424</v>
      </c>
      <c r="F1" s="1878" t="s">
        <v>3430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10443.1788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112250</v>
      </c>
      <c r="C3" s="354" t="s">
        <v>1665</v>
      </c>
      <c r="D3" s="353">
        <f>IF(D1="",'数据-汇总表'!E3,SUMIF('数据-汇总表'!$C19:$C33,D1,'数据-汇总表'!$E19:$E33))</f>
        <v>930.34999999999991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16" t="s">
        <v>1667</v>
      </c>
      <c r="D4" s="3717"/>
      <c r="E4" s="3718" t="s">
        <v>1668</v>
      </c>
      <c r="F4" s="3719"/>
      <c r="G4" s="3716" t="s">
        <v>1772</v>
      </c>
      <c r="H4" s="3717"/>
      <c r="I4" s="3716" t="s">
        <v>1670</v>
      </c>
      <c r="J4" s="3717"/>
      <c r="K4" s="559" t="s">
        <v>1671</v>
      </c>
      <c r="L4" s="2714"/>
      <c r="M4" s="2715"/>
      <c r="N4" s="2715"/>
      <c r="O4" s="2715"/>
      <c r="P4" s="3720" t="s">
        <v>1775</v>
      </c>
      <c r="Q4" s="3721"/>
      <c r="R4" s="3726" t="s">
        <v>1668</v>
      </c>
      <c r="S4" s="3727"/>
      <c r="T4" s="3726" t="s">
        <v>1772</v>
      </c>
      <c r="U4" s="3727"/>
      <c r="V4" s="3732" t="s">
        <v>1670</v>
      </c>
      <c r="W4" s="3732"/>
      <c r="X4" s="3449"/>
      <c r="Y4" s="3726" t="s">
        <v>1775</v>
      </c>
      <c r="Z4" s="3727"/>
      <c r="AA4" s="3713" t="s">
        <v>1668</v>
      </c>
      <c r="AB4" s="3732" t="s">
        <v>1772</v>
      </c>
      <c r="AC4" s="3713" t="s">
        <v>1670</v>
      </c>
    </row>
    <row r="5" spans="1:29" ht="15">
      <c r="A5" s="358"/>
      <c r="B5" s="359"/>
      <c r="C5" s="3735" t="s">
        <v>1673</v>
      </c>
      <c r="D5" s="3736"/>
      <c r="E5" s="3745" t="s">
        <v>3489</v>
      </c>
      <c r="F5" s="3736"/>
      <c r="G5" s="3745" t="s">
        <v>3489</v>
      </c>
      <c r="H5" s="3736"/>
      <c r="I5" s="3745" t="s">
        <v>3511</v>
      </c>
      <c r="J5" s="3736"/>
      <c r="K5" s="559"/>
      <c r="L5" s="2714"/>
      <c r="M5" s="2715"/>
      <c r="N5" s="2715"/>
      <c r="O5" s="2715"/>
      <c r="P5" s="3722"/>
      <c r="Q5" s="3723"/>
      <c r="R5" s="3728"/>
      <c r="S5" s="3729"/>
      <c r="T5" s="3728"/>
      <c r="U5" s="3729"/>
      <c r="V5" s="3732"/>
      <c r="W5" s="3732"/>
      <c r="X5" s="3449"/>
      <c r="Y5" s="3728"/>
      <c r="Z5" s="3729"/>
      <c r="AA5" s="3714"/>
      <c r="AB5" s="3732"/>
      <c r="AC5" s="3714"/>
    </row>
    <row r="6" spans="1:29" ht="15.75" thickBot="1">
      <c r="A6" s="360"/>
      <c r="B6" s="361"/>
      <c r="C6" s="3733" t="s">
        <v>1677</v>
      </c>
      <c r="D6" s="3734"/>
      <c r="E6" s="3740" t="s">
        <v>1677</v>
      </c>
      <c r="F6" s="3741"/>
      <c r="G6" s="3733" t="s">
        <v>1677</v>
      </c>
      <c r="H6" s="3734"/>
      <c r="I6" s="3744"/>
      <c r="J6" s="3734"/>
      <c r="K6" s="559" t="s">
        <v>1678</v>
      </c>
      <c r="L6" s="2714"/>
      <c r="M6" s="2715"/>
      <c r="N6" s="2715"/>
      <c r="O6" s="2715"/>
      <c r="P6" s="3724"/>
      <c r="Q6" s="3725"/>
      <c r="R6" s="3728"/>
      <c r="S6" s="3729"/>
      <c r="T6" s="3730"/>
      <c r="U6" s="3731"/>
      <c r="V6" s="3732"/>
      <c r="W6" s="3732"/>
      <c r="X6" s="3449"/>
      <c r="Y6" s="3730"/>
      <c r="Z6" s="3731"/>
      <c r="AA6" s="3715"/>
      <c r="AB6" s="3732"/>
      <c r="AC6" s="3715"/>
    </row>
    <row r="7" spans="1:29" s="108" customFormat="1" ht="15.75" thickBot="1">
      <c r="A7" s="362" t="s">
        <v>1679</v>
      </c>
      <c r="B7" s="363"/>
      <c r="C7" s="364">
        <f>'数据-取费表'!B2</f>
        <v>45554</v>
      </c>
      <c r="D7" s="365">
        <v>100</v>
      </c>
      <c r="E7" s="366">
        <f>C7</f>
        <v>45554</v>
      </c>
      <c r="F7" s="367">
        <f>SUMIF(58:58,YEAR(E7)&amp;"-"&amp;MONTH(E7),59:59)</f>
        <v>100</v>
      </c>
      <c r="G7" s="366">
        <f>C7</f>
        <v>45554</v>
      </c>
      <c r="H7" s="365">
        <f>SUMIF(58:58,YEAR(G7)&amp;"-"&amp;MONTH(G7),59:59)</f>
        <v>100</v>
      </c>
      <c r="I7" s="366">
        <f>C7</f>
        <v>45554</v>
      </c>
      <c r="J7" s="365">
        <f>SUMIF(58:58,YEAR(I7)&amp;"-"&amp;MONTH(I7),59:59)</f>
        <v>100</v>
      </c>
      <c r="K7" s="560"/>
      <c r="L7" s="2716"/>
      <c r="M7" s="2717"/>
      <c r="N7" s="2717"/>
      <c r="O7" s="2717"/>
      <c r="P7" s="3737" t="s">
        <v>1680</v>
      </c>
      <c r="Q7" s="3739"/>
      <c r="R7" s="700" t="s">
        <v>14</v>
      </c>
      <c r="S7" s="701">
        <f t="shared" ref="S7:S15" si="0">F7</f>
        <v>100</v>
      </c>
      <c r="T7" s="700" t="s">
        <v>14</v>
      </c>
      <c r="U7" s="701">
        <f t="shared" ref="U7:U15" si="1">H7</f>
        <v>100</v>
      </c>
      <c r="V7" s="700" t="s">
        <v>14</v>
      </c>
      <c r="W7" s="701">
        <f t="shared" ref="W7:W15" si="2">J7</f>
        <v>100</v>
      </c>
      <c r="X7" s="702"/>
      <c r="Y7" s="3737" t="s">
        <v>1680</v>
      </c>
      <c r="Z7" s="3738"/>
      <c r="AA7" s="703">
        <f>D7/F7</f>
        <v>1</v>
      </c>
      <c r="AB7" s="703">
        <f>D7/H7</f>
        <v>1</v>
      </c>
      <c r="AC7" s="703">
        <f>D7/J7</f>
        <v>1</v>
      </c>
    </row>
    <row r="8" spans="1:29" s="108" customFormat="1" ht="15.75" thickBot="1">
      <c r="A8" s="362" t="s">
        <v>1681</v>
      </c>
      <c r="B8" s="363"/>
      <c r="C8" s="368" t="s">
        <v>3467</v>
      </c>
      <c r="D8" s="365">
        <v>100</v>
      </c>
      <c r="E8" s="368" t="s">
        <v>3433</v>
      </c>
      <c r="F8" s="367">
        <f>SUMIF(61:61,E8,62:62)-SUMIF(61:61,C8,62:62)+100</f>
        <v>102</v>
      </c>
      <c r="G8" s="368" t="s">
        <v>3467</v>
      </c>
      <c r="H8" s="365">
        <f>SUMIF(61:61,G8,62:62)-SUMIF(61:61,C8,62:62)+100</f>
        <v>100</v>
      </c>
      <c r="I8" s="368" t="s">
        <v>3433</v>
      </c>
      <c r="J8" s="365">
        <f>SUMIF(61:61,I8,62:62)-SUMIF(61:61,C8,62:62)+100</f>
        <v>102</v>
      </c>
      <c r="K8" s="560"/>
      <c r="L8" s="2716"/>
      <c r="M8" s="2717"/>
      <c r="N8" s="2717"/>
      <c r="O8" s="2717"/>
      <c r="P8" s="3737" t="s">
        <v>1683</v>
      </c>
      <c r="Q8" s="3738"/>
      <c r="R8" s="700" t="s">
        <v>14</v>
      </c>
      <c r="S8" s="701">
        <f t="shared" si="0"/>
        <v>102</v>
      </c>
      <c r="T8" s="700" t="s">
        <v>14</v>
      </c>
      <c r="U8" s="701">
        <f t="shared" si="1"/>
        <v>100</v>
      </c>
      <c r="V8" s="700" t="s">
        <v>14</v>
      </c>
      <c r="W8" s="701">
        <f t="shared" si="2"/>
        <v>102</v>
      </c>
      <c r="X8" s="702"/>
      <c r="Y8" s="3737" t="s">
        <v>1683</v>
      </c>
      <c r="Z8" s="3738"/>
      <c r="AA8" s="703">
        <f t="shared" ref="AA8:AA46" si="3">D8/F8</f>
        <v>0.98039215686274506</v>
      </c>
      <c r="AB8" s="703">
        <f t="shared" ref="AB8:AB46" si="4">D8/H8</f>
        <v>1</v>
      </c>
      <c r="AC8" s="703">
        <f t="shared" ref="AC8:AC46" si="5">D8/J8</f>
        <v>0.98039215686274506</v>
      </c>
    </row>
    <row r="9" spans="1:29" s="108" customFormat="1">
      <c r="A9" s="369" t="s">
        <v>1684</v>
      </c>
      <c r="B9" s="63" t="s">
        <v>1685</v>
      </c>
      <c r="C9" s="3457" t="s">
        <v>3432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12" t="s">
        <v>1686</v>
      </c>
      <c r="Q9" s="3448" t="str">
        <f t="shared" ref="Q9:Q15" si="6">B9</f>
        <v>用途</v>
      </c>
      <c r="R9" s="700" t="s">
        <v>14</v>
      </c>
      <c r="S9" s="701">
        <f t="shared" si="0"/>
        <v>100</v>
      </c>
      <c r="T9" s="700" t="s">
        <v>14</v>
      </c>
      <c r="U9" s="701">
        <f t="shared" si="1"/>
        <v>100</v>
      </c>
      <c r="V9" s="700" t="s">
        <v>14</v>
      </c>
      <c r="W9" s="701">
        <f t="shared" si="2"/>
        <v>100</v>
      </c>
      <c r="X9" s="702"/>
      <c r="Y9" s="3557" t="s">
        <v>1687</v>
      </c>
      <c r="Z9" s="3447"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8"/>
      <c r="M10" s="2719"/>
      <c r="N10" s="2719"/>
      <c r="O10" s="2719"/>
      <c r="P10" s="3712"/>
      <c r="Q10" s="3448" t="str">
        <f t="shared" si="6"/>
        <v>土地使用年限（年）</v>
      </c>
      <c r="R10" s="700" t="s">
        <v>14</v>
      </c>
      <c r="S10" s="701">
        <f t="shared" si="0"/>
        <v>100</v>
      </c>
      <c r="T10" s="700" t="s">
        <v>14</v>
      </c>
      <c r="U10" s="701">
        <f t="shared" si="1"/>
        <v>100</v>
      </c>
      <c r="V10" s="700" t="s">
        <v>14</v>
      </c>
      <c r="W10" s="701">
        <f t="shared" si="2"/>
        <v>100</v>
      </c>
      <c r="X10" s="702"/>
      <c r="Y10" s="3557"/>
      <c r="Z10" s="3447"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12"/>
      <c r="Q11" s="3448" t="str">
        <f t="shared" si="6"/>
        <v>容积率</v>
      </c>
      <c r="R11" s="700" t="s">
        <v>14</v>
      </c>
      <c r="S11" s="701">
        <f t="shared" si="0"/>
        <v>100</v>
      </c>
      <c r="T11" s="700" t="s">
        <v>14</v>
      </c>
      <c r="U11" s="701">
        <f t="shared" si="1"/>
        <v>100</v>
      </c>
      <c r="V11" s="700" t="s">
        <v>14</v>
      </c>
      <c r="W11" s="701">
        <f t="shared" si="2"/>
        <v>100</v>
      </c>
      <c r="X11" s="702"/>
      <c r="Y11" s="3557"/>
      <c r="Z11" s="3447"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2"/>
      <c r="Q12" s="3448">
        <f t="shared" si="6"/>
        <v>111</v>
      </c>
      <c r="R12" s="700" t="s">
        <v>14</v>
      </c>
      <c r="S12" s="701">
        <f t="shared" si="0"/>
        <v>100</v>
      </c>
      <c r="T12" s="700" t="s">
        <v>14</v>
      </c>
      <c r="U12" s="701">
        <f t="shared" si="1"/>
        <v>100</v>
      </c>
      <c r="V12" s="700" t="s">
        <v>14</v>
      </c>
      <c r="W12" s="701">
        <f t="shared" si="2"/>
        <v>100</v>
      </c>
      <c r="X12" s="702"/>
      <c r="Y12" s="3557"/>
      <c r="Z12" s="3447">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2"/>
      <c r="Q13" s="3448">
        <f t="shared" si="6"/>
        <v>111</v>
      </c>
      <c r="R13" s="700" t="s">
        <v>14</v>
      </c>
      <c r="S13" s="701">
        <f t="shared" si="0"/>
        <v>100</v>
      </c>
      <c r="T13" s="700" t="s">
        <v>14</v>
      </c>
      <c r="U13" s="701">
        <f t="shared" si="1"/>
        <v>100</v>
      </c>
      <c r="V13" s="700" t="s">
        <v>14</v>
      </c>
      <c r="W13" s="701">
        <f t="shared" si="2"/>
        <v>100</v>
      </c>
      <c r="X13" s="702"/>
      <c r="Y13" s="3557"/>
      <c r="Z13" s="3447">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2"/>
      <c r="Q14" s="3448">
        <f t="shared" si="6"/>
        <v>111</v>
      </c>
      <c r="R14" s="700" t="s">
        <v>14</v>
      </c>
      <c r="S14" s="701">
        <f t="shared" si="0"/>
        <v>100</v>
      </c>
      <c r="T14" s="700" t="s">
        <v>14</v>
      </c>
      <c r="U14" s="701">
        <f t="shared" si="1"/>
        <v>100</v>
      </c>
      <c r="V14" s="700" t="s">
        <v>14</v>
      </c>
      <c r="W14" s="701">
        <f t="shared" si="2"/>
        <v>100</v>
      </c>
      <c r="X14" s="702"/>
      <c r="Y14" s="3557"/>
      <c r="Z14" s="3447">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0" t="s">
        <v>1691</v>
      </c>
      <c r="Q15" s="3452" t="str">
        <f t="shared" si="6"/>
        <v>商业繁华度</v>
      </c>
      <c r="R15" s="704" t="s">
        <v>14</v>
      </c>
      <c r="S15" s="705">
        <f t="shared" si="0"/>
        <v>100</v>
      </c>
      <c r="T15" s="704" t="s">
        <v>14</v>
      </c>
      <c r="U15" s="705">
        <f t="shared" si="1"/>
        <v>100</v>
      </c>
      <c r="V15" s="704" t="s">
        <v>14</v>
      </c>
      <c r="W15" s="705">
        <f t="shared" si="2"/>
        <v>100</v>
      </c>
      <c r="X15" s="3449"/>
      <c r="Y15" s="3703" t="s">
        <v>1691</v>
      </c>
      <c r="Z15" s="3450" t="str">
        <f t="shared" si="7"/>
        <v>商业繁华度</v>
      </c>
      <c r="AA15" s="3453">
        <f t="shared" si="3"/>
        <v>1</v>
      </c>
      <c r="AB15" s="3453">
        <f t="shared" si="4"/>
        <v>1</v>
      </c>
      <c r="AC15" s="3453">
        <f t="shared" si="5"/>
        <v>1</v>
      </c>
    </row>
    <row r="16" spans="1:29" ht="15">
      <c r="A16" s="379"/>
      <c r="B16" s="397"/>
      <c r="C16" s="398" t="s">
        <v>3414</v>
      </c>
      <c r="D16" s="399"/>
      <c r="E16" s="398" t="s">
        <v>3414</v>
      </c>
      <c r="F16" s="400"/>
      <c r="G16" s="398" t="s">
        <v>3414</v>
      </c>
      <c r="H16" s="401"/>
      <c r="I16" s="398" t="s">
        <v>3414</v>
      </c>
      <c r="J16" s="399"/>
      <c r="K16" s="564"/>
      <c r="L16" s="2721"/>
      <c r="M16" s="2715"/>
      <c r="N16" s="2715"/>
      <c r="O16" s="2715"/>
      <c r="P16" s="3711"/>
      <c r="Q16" s="3452"/>
      <c r="R16" s="704"/>
      <c r="S16" s="705"/>
      <c r="T16" s="704"/>
      <c r="U16" s="705"/>
      <c r="V16" s="704"/>
      <c r="W16" s="705"/>
      <c r="X16" s="3449"/>
      <c r="Y16" s="3704"/>
      <c r="Z16" s="3450"/>
      <c r="AA16" s="3453">
        <v>1</v>
      </c>
      <c r="AB16" s="3453">
        <v>1</v>
      </c>
      <c r="AC16" s="34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1"/>
      <c r="Q17" s="3452" t="str">
        <f>B17</f>
        <v>交通便捷度</v>
      </c>
      <c r="R17" s="704" t="s">
        <v>14</v>
      </c>
      <c r="S17" s="705">
        <f>F17</f>
        <v>100</v>
      </c>
      <c r="T17" s="704" t="s">
        <v>14</v>
      </c>
      <c r="U17" s="705">
        <f>H17</f>
        <v>100</v>
      </c>
      <c r="V17" s="704" t="s">
        <v>14</v>
      </c>
      <c r="W17" s="705">
        <f>J17</f>
        <v>100</v>
      </c>
      <c r="X17" s="3449"/>
      <c r="Y17" s="3704"/>
      <c r="Z17" s="3450" t="str">
        <f>Q17</f>
        <v>交通便捷度</v>
      </c>
      <c r="AA17" s="3453">
        <f t="shared" si="3"/>
        <v>1</v>
      </c>
      <c r="AB17" s="3453">
        <f t="shared" si="4"/>
        <v>1</v>
      </c>
      <c r="AC17" s="3453">
        <f t="shared" si="5"/>
        <v>1</v>
      </c>
    </row>
    <row r="18" spans="1:29" ht="15">
      <c r="A18" s="379"/>
      <c r="B18" s="407"/>
      <c r="C18" s="1900" t="s">
        <v>3415</v>
      </c>
      <c r="D18" s="401"/>
      <c r="E18" s="1900" t="s">
        <v>3415</v>
      </c>
      <c r="F18" s="404"/>
      <c r="G18" s="1900" t="s">
        <v>3415</v>
      </c>
      <c r="H18" s="399"/>
      <c r="I18" s="1900" t="s">
        <v>3415</v>
      </c>
      <c r="J18" s="399"/>
      <c r="K18" s="564"/>
      <c r="L18" s="2721"/>
      <c r="M18" s="2715"/>
      <c r="N18" s="2715"/>
      <c r="O18" s="2715"/>
      <c r="P18" s="3711"/>
      <c r="Q18" s="3452"/>
      <c r="R18" s="704"/>
      <c r="S18" s="705"/>
      <c r="T18" s="704"/>
      <c r="U18" s="705"/>
      <c r="V18" s="704"/>
      <c r="W18" s="705"/>
      <c r="X18" s="3449"/>
      <c r="Y18" s="3704"/>
      <c r="Z18" s="3450"/>
      <c r="AA18" s="3453">
        <v>1</v>
      </c>
      <c r="AB18" s="3453">
        <v>1</v>
      </c>
      <c r="AC18" s="34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1"/>
      <c r="Q19" s="3452" t="str">
        <f>B19</f>
        <v>公共配套设施</v>
      </c>
      <c r="R19" s="704" t="s">
        <v>14</v>
      </c>
      <c r="S19" s="705">
        <f>F19</f>
        <v>100</v>
      </c>
      <c r="T19" s="704" t="s">
        <v>14</v>
      </c>
      <c r="U19" s="705">
        <f>H19</f>
        <v>100</v>
      </c>
      <c r="V19" s="704" t="s">
        <v>14</v>
      </c>
      <c r="W19" s="705">
        <f>J19</f>
        <v>100</v>
      </c>
      <c r="X19" s="3449"/>
      <c r="Y19" s="3704"/>
      <c r="Z19" s="3450" t="str">
        <f>Q19</f>
        <v>公共配套设施</v>
      </c>
      <c r="AA19" s="3453">
        <f t="shared" si="3"/>
        <v>1</v>
      </c>
      <c r="AB19" s="3453">
        <f t="shared" si="4"/>
        <v>1</v>
      </c>
      <c r="AC19" s="3453">
        <f t="shared" si="5"/>
        <v>1</v>
      </c>
    </row>
    <row r="20" spans="1:29" ht="15">
      <c r="A20" s="379"/>
      <c r="B20" s="407"/>
      <c r="C20" s="398" t="s">
        <v>3414</v>
      </c>
      <c r="D20" s="399"/>
      <c r="E20" s="398" t="s">
        <v>3414</v>
      </c>
      <c r="F20" s="400"/>
      <c r="G20" s="398" t="s">
        <v>3414</v>
      </c>
      <c r="H20" s="399"/>
      <c r="I20" s="398" t="s">
        <v>3414</v>
      </c>
      <c r="J20" s="399"/>
      <c r="K20" s="564"/>
      <c r="L20" s="2721"/>
      <c r="M20" s="2715"/>
      <c r="N20" s="2715"/>
      <c r="O20" s="2715"/>
      <c r="P20" s="3711"/>
      <c r="Q20" s="3452"/>
      <c r="R20" s="704"/>
      <c r="S20" s="705"/>
      <c r="T20" s="704"/>
      <c r="U20" s="705"/>
      <c r="V20" s="704"/>
      <c r="W20" s="705"/>
      <c r="X20" s="3449"/>
      <c r="Y20" s="3704"/>
      <c r="Z20" s="3450"/>
      <c r="AA20" s="3453">
        <v>1</v>
      </c>
      <c r="AB20" s="3453">
        <v>1</v>
      </c>
      <c r="AC20" s="3453">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1"/>
      <c r="Q21" s="3452" t="str">
        <f>B21</f>
        <v>基础设施水平</v>
      </c>
      <c r="R21" s="704" t="s">
        <v>14</v>
      </c>
      <c r="S21" s="705">
        <f>F21</f>
        <v>100</v>
      </c>
      <c r="T21" s="704" t="s">
        <v>14</v>
      </c>
      <c r="U21" s="705">
        <f>H21</f>
        <v>100</v>
      </c>
      <c r="V21" s="704" t="s">
        <v>14</v>
      </c>
      <c r="W21" s="705">
        <f>J21</f>
        <v>100</v>
      </c>
      <c r="X21" s="3449"/>
      <c r="Y21" s="3704"/>
      <c r="Z21" s="3450" t="str">
        <f>Q21</f>
        <v>基础设施水平</v>
      </c>
      <c r="AA21" s="3453">
        <f t="shared" ref="AA21" si="8">D21/F21</f>
        <v>1</v>
      </c>
      <c r="AB21" s="3453">
        <f t="shared" ref="AB21" si="9">D21/H21</f>
        <v>1</v>
      </c>
      <c r="AC21" s="3453">
        <f t="shared" ref="AC21" si="10">D21/J21</f>
        <v>1</v>
      </c>
    </row>
    <row r="22" spans="1:29" ht="15">
      <c r="A22" s="379"/>
      <c r="B22" s="1130"/>
      <c r="C22" s="1900" t="s">
        <v>3459</v>
      </c>
      <c r="D22" s="399"/>
      <c r="E22" s="1900" t="s">
        <v>3459</v>
      </c>
      <c r="F22" s="400"/>
      <c r="G22" s="1900" t="s">
        <v>3459</v>
      </c>
      <c r="H22" s="399"/>
      <c r="I22" s="1900" t="s">
        <v>3459</v>
      </c>
      <c r="J22" s="399"/>
      <c r="K22" s="1129"/>
      <c r="L22" s="2721"/>
      <c r="M22" s="2715"/>
      <c r="N22" s="2715"/>
      <c r="O22" s="2715"/>
      <c r="P22" s="3711"/>
      <c r="Q22" s="3452"/>
      <c r="R22" s="704"/>
      <c r="S22" s="705"/>
      <c r="T22" s="704"/>
      <c r="U22" s="705"/>
      <c r="V22" s="704"/>
      <c r="W22" s="705"/>
      <c r="X22" s="3449"/>
      <c r="Y22" s="3704"/>
      <c r="Z22" s="3450"/>
      <c r="AA22" s="3453">
        <v>1</v>
      </c>
      <c r="AB22" s="3453">
        <v>1</v>
      </c>
      <c r="AC22" s="34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1"/>
      <c r="Q23" s="3452" t="str">
        <f>B23</f>
        <v>自然及人文环境</v>
      </c>
      <c r="R23" s="704" t="s">
        <v>14</v>
      </c>
      <c r="S23" s="705">
        <f>F23</f>
        <v>100</v>
      </c>
      <c r="T23" s="704" t="s">
        <v>14</v>
      </c>
      <c r="U23" s="705">
        <f>H23</f>
        <v>100</v>
      </c>
      <c r="V23" s="704" t="s">
        <v>14</v>
      </c>
      <c r="W23" s="705">
        <f>J23</f>
        <v>100</v>
      </c>
      <c r="X23" s="3449"/>
      <c r="Y23" s="3704"/>
      <c r="Z23" s="3450" t="str">
        <f>Q23</f>
        <v>自然及人文环境</v>
      </c>
      <c r="AA23" s="3453">
        <f t="shared" si="3"/>
        <v>1</v>
      </c>
      <c r="AB23" s="3453">
        <f t="shared" si="4"/>
        <v>1</v>
      </c>
      <c r="AC23" s="3453">
        <f t="shared" si="5"/>
        <v>1</v>
      </c>
    </row>
    <row r="24" spans="1:29" ht="15">
      <c r="A24" s="379"/>
      <c r="B24" s="407"/>
      <c r="C24" s="398" t="s">
        <v>3415</v>
      </c>
      <c r="D24" s="399"/>
      <c r="E24" s="398" t="s">
        <v>3415</v>
      </c>
      <c r="F24" s="400"/>
      <c r="G24" s="398" t="s">
        <v>3415</v>
      </c>
      <c r="H24" s="399"/>
      <c r="I24" s="398" t="s">
        <v>3415</v>
      </c>
      <c r="J24" s="399"/>
      <c r="K24" s="564"/>
      <c r="L24" s="2721"/>
      <c r="M24" s="2715"/>
      <c r="N24" s="2715"/>
      <c r="O24" s="2715"/>
      <c r="P24" s="3711"/>
      <c r="Q24" s="3452"/>
      <c r="R24" s="704"/>
      <c r="S24" s="705"/>
      <c r="T24" s="704"/>
      <c r="U24" s="705"/>
      <c r="V24" s="704"/>
      <c r="W24" s="705"/>
      <c r="X24" s="3449"/>
      <c r="Y24" s="3704"/>
      <c r="Z24" s="3450"/>
      <c r="AA24" s="3453">
        <v>1</v>
      </c>
      <c r="AB24" s="3453">
        <v>1</v>
      </c>
      <c r="AC24" s="3453">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c r="L25" s="2721"/>
      <c r="M25" s="2715"/>
      <c r="N25" s="2715"/>
      <c r="O25" s="2715"/>
      <c r="P25" s="3711"/>
      <c r="Q25" s="3452" t="str">
        <f t="shared" ref="Q25:Q46" si="11">B25</f>
        <v>临街状况</v>
      </c>
      <c r="R25" s="704" t="s">
        <v>14</v>
      </c>
      <c r="S25" s="705">
        <f>F25</f>
        <v>100</v>
      </c>
      <c r="T25" s="704" t="s">
        <v>14</v>
      </c>
      <c r="U25" s="705">
        <f>H25</f>
        <v>100</v>
      </c>
      <c r="V25" s="704" t="s">
        <v>14</v>
      </c>
      <c r="W25" s="705">
        <f>J25</f>
        <v>100</v>
      </c>
      <c r="X25" s="3449"/>
      <c r="Y25" s="3704"/>
      <c r="Z25" s="3450" t="str">
        <f>Q25</f>
        <v>临街状况</v>
      </c>
      <c r="AA25" s="3453">
        <f t="shared" si="3"/>
        <v>1</v>
      </c>
      <c r="AB25" s="3453">
        <f t="shared" si="4"/>
        <v>1</v>
      </c>
      <c r="AC25" s="3453">
        <f t="shared" si="5"/>
        <v>1</v>
      </c>
    </row>
    <row r="26" spans="1:29" ht="15">
      <c r="A26" s="379"/>
      <c r="B26" s="1132" t="s">
        <v>1781</v>
      </c>
      <c r="C26" s="3464" t="s">
        <v>3486</v>
      </c>
      <c r="D26" s="386">
        <v>100</v>
      </c>
      <c r="E26" s="3464" t="s">
        <v>3486</v>
      </c>
      <c r="F26" s="412">
        <f>SUMIF(88:88,E26,89:89)-SUMIF(88:88,C26,89:89)+100</f>
        <v>100</v>
      </c>
      <c r="G26" s="3464" t="s">
        <v>3486</v>
      </c>
      <c r="H26" s="386">
        <f>SUMIF(88:88,G26,89:89)-SUMIF(88:88,C26,89:89)+100</f>
        <v>100</v>
      </c>
      <c r="I26" s="3464" t="s">
        <v>3486</v>
      </c>
      <c r="J26" s="386">
        <f>SUMIF(88:88,I26,89:89)-SUMIF(88:88,C26,89:89)+100</f>
        <v>100</v>
      </c>
      <c r="K26" s="562"/>
      <c r="L26" s="2721"/>
      <c r="M26" s="2715"/>
      <c r="N26" s="2715"/>
      <c r="O26" s="2715"/>
      <c r="P26" s="3711"/>
      <c r="Q26" s="3452" t="str">
        <f t="shared" si="11"/>
        <v>平面位置/可视性</v>
      </c>
      <c r="R26" s="704" t="s">
        <v>14</v>
      </c>
      <c r="S26" s="705">
        <f>F26</f>
        <v>100</v>
      </c>
      <c r="T26" s="704" t="s">
        <v>14</v>
      </c>
      <c r="U26" s="705">
        <f>H26</f>
        <v>100</v>
      </c>
      <c r="V26" s="704" t="s">
        <v>14</v>
      </c>
      <c r="W26" s="705">
        <f>J26</f>
        <v>100</v>
      </c>
      <c r="X26" s="3449"/>
      <c r="Y26" s="3704"/>
      <c r="Z26" s="3450" t="str">
        <f>Q26</f>
        <v>平面位置/可视性</v>
      </c>
      <c r="AA26" s="3453">
        <f t="shared" si="3"/>
        <v>1</v>
      </c>
      <c r="AB26" s="3453">
        <f t="shared" si="4"/>
        <v>1</v>
      </c>
      <c r="AC26" s="3453">
        <f t="shared" si="5"/>
        <v>1</v>
      </c>
    </row>
    <row r="27" spans="1:29" s="108" customFormat="1" ht="15">
      <c r="A27" s="382"/>
      <c r="B27" s="402" t="s">
        <v>1782</v>
      </c>
      <c r="C27" s="1955" t="s">
        <v>3442</v>
      </c>
      <c r="D27" s="413">
        <v>100</v>
      </c>
      <c r="E27" s="1955" t="s">
        <v>3442</v>
      </c>
      <c r="F27" s="415">
        <f>SUMIF(90:90,E27,91:91)-SUMIF(90:90,C27,91:91)+100</f>
        <v>100</v>
      </c>
      <c r="G27" s="1955" t="s">
        <v>3442</v>
      </c>
      <c r="H27" s="413">
        <f>SUMIF(90:90,G27,91:91)-SUMIF(90:90,C27,91:91)+100</f>
        <v>100</v>
      </c>
      <c r="I27" s="1955" t="s">
        <v>3442</v>
      </c>
      <c r="J27" s="413">
        <f>SUMIF(90:90,I27,91:91)-SUMIF(90:90,C27,91:91)+100</f>
        <v>100</v>
      </c>
      <c r="K27" s="561"/>
      <c r="L27" s="2716"/>
      <c r="M27" s="2717"/>
      <c r="N27" s="2717"/>
      <c r="O27" s="2717"/>
      <c r="P27" s="3711"/>
      <c r="Q27" s="3448" t="str">
        <f t="shared" si="11"/>
        <v>人流量</v>
      </c>
      <c r="R27" s="700" t="s">
        <v>14</v>
      </c>
      <c r="S27" s="701">
        <f>F27</f>
        <v>100</v>
      </c>
      <c r="T27" s="700" t="s">
        <v>14</v>
      </c>
      <c r="U27" s="701">
        <f>H27</f>
        <v>100</v>
      </c>
      <c r="V27" s="700" t="s">
        <v>14</v>
      </c>
      <c r="W27" s="701">
        <f>J27</f>
        <v>100</v>
      </c>
      <c r="X27" s="702"/>
      <c r="Y27" s="3704"/>
      <c r="Z27" s="3447" t="str">
        <f>Q27</f>
        <v>人流量</v>
      </c>
      <c r="AA27" s="3453">
        <f>D27/F27</f>
        <v>1</v>
      </c>
      <c r="AB27" s="3453">
        <f>D27/H27</f>
        <v>1</v>
      </c>
      <c r="AC27" s="3453">
        <f>D27/J27</f>
        <v>1</v>
      </c>
    </row>
    <row r="28" spans="1:29" ht="15">
      <c r="A28" s="379"/>
      <c r="B28" s="375" t="s">
        <v>1783</v>
      </c>
      <c r="C28" s="565" t="s">
        <v>3468</v>
      </c>
      <c r="D28" s="386">
        <v>100</v>
      </c>
      <c r="E28" s="565" t="s">
        <v>3468</v>
      </c>
      <c r="F28" s="412">
        <f>SUMIF(92:92,E28,93:93)-SUMIF(92:92,C28,93:93)+100</f>
        <v>100</v>
      </c>
      <c r="G28" s="565" t="s">
        <v>3468</v>
      </c>
      <c r="H28" s="386">
        <f>SUMIF(92:92,G28,93:93)-SUMIF(92:92,C28,93:93)+100</f>
        <v>100</v>
      </c>
      <c r="I28" s="565" t="s">
        <v>3468</v>
      </c>
      <c r="J28" s="386">
        <f>SUMIF(92:92,I28,93:93)-SUMIF(92:92,C28,93:93)+100</f>
        <v>100</v>
      </c>
      <c r="K28" s="562"/>
      <c r="L28" s="2721"/>
      <c r="M28" s="2715"/>
      <c r="N28" s="2715"/>
      <c r="O28" s="2715"/>
      <c r="P28" s="3711"/>
      <c r="Q28" s="3452" t="str">
        <f t="shared" si="11"/>
        <v>楼层</v>
      </c>
      <c r="R28" s="704" t="s">
        <v>14</v>
      </c>
      <c r="S28" s="705">
        <f t="shared" ref="S28:S46" si="12">F28</f>
        <v>100</v>
      </c>
      <c r="T28" s="704" t="s">
        <v>14</v>
      </c>
      <c r="U28" s="705">
        <f t="shared" ref="U28:U46" si="13">H28</f>
        <v>100</v>
      </c>
      <c r="V28" s="704" t="s">
        <v>14</v>
      </c>
      <c r="W28" s="705">
        <f t="shared" ref="W28:W46" si="14">J28</f>
        <v>100</v>
      </c>
      <c r="X28" s="3449"/>
      <c r="Y28" s="3704"/>
      <c r="Z28" s="3450" t="str">
        <f t="shared" ref="Z28:Z46" si="15">Q28</f>
        <v>楼层</v>
      </c>
      <c r="AA28" s="3453">
        <f t="shared" si="3"/>
        <v>1</v>
      </c>
      <c r="AB28" s="3453">
        <f t="shared" si="4"/>
        <v>1</v>
      </c>
      <c r="AC28" s="3453">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1"/>
      <c r="Q29" s="3452">
        <f t="shared" si="11"/>
        <v>111</v>
      </c>
      <c r="R29" s="704" t="s">
        <v>14</v>
      </c>
      <c r="S29" s="705">
        <f t="shared" si="12"/>
        <v>100</v>
      </c>
      <c r="T29" s="704" t="s">
        <v>14</v>
      </c>
      <c r="U29" s="705">
        <f t="shared" si="13"/>
        <v>100</v>
      </c>
      <c r="V29" s="704" t="s">
        <v>14</v>
      </c>
      <c r="W29" s="705">
        <f t="shared" si="14"/>
        <v>100</v>
      </c>
      <c r="X29" s="3449"/>
      <c r="Y29" s="3704"/>
      <c r="Z29" s="3450">
        <f t="shared" si="15"/>
        <v>111</v>
      </c>
      <c r="AA29" s="3453">
        <f t="shared" si="3"/>
        <v>1</v>
      </c>
      <c r="AB29" s="3453">
        <f t="shared" si="4"/>
        <v>1</v>
      </c>
      <c r="AC29" s="3453">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1"/>
      <c r="Q30" s="3452">
        <f t="shared" si="11"/>
        <v>111</v>
      </c>
      <c r="R30" s="704" t="s">
        <v>14</v>
      </c>
      <c r="S30" s="705">
        <f t="shared" si="12"/>
        <v>100</v>
      </c>
      <c r="T30" s="704" t="s">
        <v>14</v>
      </c>
      <c r="U30" s="705">
        <f t="shared" si="13"/>
        <v>100</v>
      </c>
      <c r="V30" s="704" t="s">
        <v>14</v>
      </c>
      <c r="W30" s="705">
        <f t="shared" si="14"/>
        <v>100</v>
      </c>
      <c r="X30" s="3449"/>
      <c r="Y30" s="3704"/>
      <c r="Z30" s="3450">
        <f t="shared" si="15"/>
        <v>111</v>
      </c>
      <c r="AA30" s="3453">
        <f t="shared" si="3"/>
        <v>1</v>
      </c>
      <c r="AB30" s="3453">
        <f t="shared" si="4"/>
        <v>1</v>
      </c>
      <c r="AC30" s="3453">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1"/>
      <c r="Q31" s="3452">
        <f t="shared" si="11"/>
        <v>111</v>
      </c>
      <c r="R31" s="704" t="s">
        <v>14</v>
      </c>
      <c r="S31" s="705">
        <f t="shared" si="12"/>
        <v>100</v>
      </c>
      <c r="T31" s="704" t="s">
        <v>14</v>
      </c>
      <c r="U31" s="705">
        <f t="shared" si="13"/>
        <v>100</v>
      </c>
      <c r="V31" s="704" t="s">
        <v>14</v>
      </c>
      <c r="W31" s="705">
        <f t="shared" si="14"/>
        <v>100</v>
      </c>
      <c r="X31" s="3449"/>
      <c r="Y31" s="3704"/>
      <c r="Z31" s="3450">
        <f t="shared" si="15"/>
        <v>111</v>
      </c>
      <c r="AA31" s="3453">
        <f t="shared" si="3"/>
        <v>1</v>
      </c>
      <c r="AB31" s="3453">
        <f t="shared" si="4"/>
        <v>1</v>
      </c>
      <c r="AC31" s="3453">
        <f t="shared" si="5"/>
        <v>1</v>
      </c>
    </row>
    <row r="32" spans="1:29" ht="15">
      <c r="A32" s="391" t="s">
        <v>1694</v>
      </c>
      <c r="B32" s="63" t="s">
        <v>1784</v>
      </c>
      <c r="C32" s="1909" t="s">
        <v>3451</v>
      </c>
      <c r="D32" s="418">
        <v>100</v>
      </c>
      <c r="E32" s="1909" t="s">
        <v>3451</v>
      </c>
      <c r="F32" s="412">
        <f>SUMIF(100:100,E32,101:101)-SUMIF(100:100,C32,101:101)+100</f>
        <v>100</v>
      </c>
      <c r="G32" s="1909" t="s">
        <v>3451</v>
      </c>
      <c r="H32" s="386">
        <f>SUMIF(100:100,G32,101:101)-SUMIF(100:100,C32,101:101)+100</f>
        <v>100</v>
      </c>
      <c r="I32" s="1909" t="s">
        <v>3451</v>
      </c>
      <c r="J32" s="418">
        <f>SUMIF(100:100,I32,101:101)-SUMIF(100:100,C32,101:101)+100</f>
        <v>100</v>
      </c>
      <c r="K32" s="561"/>
      <c r="L32" s="2721"/>
      <c r="M32" s="2715"/>
      <c r="N32" s="2715"/>
      <c r="O32" s="2715"/>
      <c r="P32" s="3705" t="s">
        <v>1696</v>
      </c>
      <c r="Q32" s="3452" t="str">
        <f t="shared" si="11"/>
        <v>商业类型</v>
      </c>
      <c r="R32" s="704" t="s">
        <v>14</v>
      </c>
      <c r="S32" s="705">
        <f t="shared" si="12"/>
        <v>100</v>
      </c>
      <c r="T32" s="704" t="s">
        <v>14</v>
      </c>
      <c r="U32" s="705">
        <f t="shared" si="13"/>
        <v>100</v>
      </c>
      <c r="V32" s="704" t="s">
        <v>14</v>
      </c>
      <c r="W32" s="705">
        <f t="shared" si="14"/>
        <v>100</v>
      </c>
      <c r="X32" s="3449"/>
      <c r="Y32" s="3708" t="s">
        <v>1696</v>
      </c>
      <c r="Z32" s="3450" t="str">
        <f t="shared" si="15"/>
        <v>商业类型</v>
      </c>
      <c r="AA32" s="3453">
        <f t="shared" si="3"/>
        <v>1</v>
      </c>
      <c r="AB32" s="3453">
        <f t="shared" si="4"/>
        <v>1</v>
      </c>
      <c r="AC32" s="3453">
        <f t="shared" si="5"/>
        <v>1</v>
      </c>
    </row>
    <row r="33" spans="1:29" s="422" customFormat="1" ht="15">
      <c r="A33" s="419"/>
      <c r="B33" s="375" t="s">
        <v>1697</v>
      </c>
      <c r="C33" s="420">
        <f>'数据-基础表'!I13</f>
        <v>186.07</v>
      </c>
      <c r="D33" s="127">
        <v>100</v>
      </c>
      <c r="E33" s="381">
        <v>100.55</v>
      </c>
      <c r="F33" s="376">
        <f>LOOKUP(E33,103:103,104:104)-LOOKUP(C33,103:103,104:104)+100</f>
        <v>100</v>
      </c>
      <c r="G33" s="380">
        <v>118.58</v>
      </c>
      <c r="H33" s="127">
        <f>LOOKUP(G33,103:103,104:104)-LOOKUP(C33,103:103,104:104)+100</f>
        <v>100</v>
      </c>
      <c r="I33" s="380">
        <v>124.4</v>
      </c>
      <c r="J33" s="127">
        <f>LOOKUP(I33,103:103,104:104)-LOOKUP(C33,103:103,104:104)+100</f>
        <v>100</v>
      </c>
      <c r="K33" s="562"/>
      <c r="L33" s="2720"/>
      <c r="M33" s="2722"/>
      <c r="N33" s="2722"/>
      <c r="O33" s="2722"/>
      <c r="P33" s="3706"/>
      <c r="Q33" s="706" t="str">
        <f t="shared" si="11"/>
        <v>项目建筑规模</v>
      </c>
      <c r="R33" s="707" t="s">
        <v>14</v>
      </c>
      <c r="S33" s="708">
        <f t="shared" si="12"/>
        <v>100</v>
      </c>
      <c r="T33" s="707" t="s">
        <v>14</v>
      </c>
      <c r="U33" s="708">
        <f t="shared" si="13"/>
        <v>100</v>
      </c>
      <c r="V33" s="707" t="s">
        <v>14</v>
      </c>
      <c r="W33" s="708">
        <f t="shared" si="14"/>
        <v>100</v>
      </c>
      <c r="X33" s="709"/>
      <c r="Y33" s="3708"/>
      <c r="Z33" s="710" t="str">
        <f t="shared" si="15"/>
        <v>项目建筑规模</v>
      </c>
      <c r="AA33" s="3453">
        <f t="shared" si="3"/>
        <v>1</v>
      </c>
      <c r="AB33" s="3453">
        <f t="shared" si="4"/>
        <v>1</v>
      </c>
      <c r="AC33" s="3453">
        <f t="shared" si="5"/>
        <v>1</v>
      </c>
    </row>
    <row r="34" spans="1:29" ht="15">
      <c r="A34" s="423"/>
      <c r="B34" s="375" t="s">
        <v>1698</v>
      </c>
      <c r="C34" s="1911" t="s">
        <v>3399</v>
      </c>
      <c r="D34" s="386">
        <v>100</v>
      </c>
      <c r="E34" s="1911" t="s">
        <v>3399</v>
      </c>
      <c r="F34" s="412">
        <f>SUMIF(105:105,E34,106:106)-SUMIF(105:105,C34,106:106)+100</f>
        <v>100</v>
      </c>
      <c r="G34" s="1911" t="s">
        <v>3399</v>
      </c>
      <c r="H34" s="386">
        <f>SUMIF(105:105,G34,106:106)-SUMIF(105:105,C34,106:106)+100</f>
        <v>100</v>
      </c>
      <c r="I34" s="1911" t="s">
        <v>3399</v>
      </c>
      <c r="J34" s="386">
        <f>SUMIF(105:105,I34,106:106)-SUMIF(105:105,C34,106:106)+100</f>
        <v>100</v>
      </c>
      <c r="K34" s="561">
        <v>1</v>
      </c>
      <c r="L34" s="2721"/>
      <c r="M34" s="2715"/>
      <c r="N34" s="2715"/>
      <c r="O34" s="2715"/>
      <c r="P34" s="3706"/>
      <c r="Q34" s="3452" t="str">
        <f t="shared" si="11"/>
        <v>建筑结构</v>
      </c>
      <c r="R34" s="704" t="s">
        <v>14</v>
      </c>
      <c r="S34" s="705">
        <f t="shared" si="12"/>
        <v>100</v>
      </c>
      <c r="T34" s="704" t="s">
        <v>14</v>
      </c>
      <c r="U34" s="705">
        <f t="shared" si="13"/>
        <v>100</v>
      </c>
      <c r="V34" s="704" t="s">
        <v>14</v>
      </c>
      <c r="W34" s="705">
        <f t="shared" si="14"/>
        <v>100</v>
      </c>
      <c r="X34" s="3449"/>
      <c r="Y34" s="3708"/>
      <c r="Z34" s="3450" t="str">
        <f t="shared" si="15"/>
        <v>建筑结构</v>
      </c>
      <c r="AA34" s="3453">
        <f t="shared" si="3"/>
        <v>1</v>
      </c>
      <c r="AB34" s="3453">
        <f t="shared" si="4"/>
        <v>1</v>
      </c>
      <c r="AC34" s="3453">
        <f t="shared" si="5"/>
        <v>1</v>
      </c>
    </row>
    <row r="35" spans="1:29" ht="15">
      <c r="A35" s="423"/>
      <c r="B35" s="375" t="s">
        <v>1785</v>
      </c>
      <c r="C35" s="1905" t="s">
        <v>3454</v>
      </c>
      <c r="D35" s="386">
        <v>100</v>
      </c>
      <c r="E35" s="1905" t="s">
        <v>3454</v>
      </c>
      <c r="F35" s="412">
        <f>SUMIF(107:107,E35,108:108)-SUMIF(107:107,C35,108:108)+100</f>
        <v>100</v>
      </c>
      <c r="G35" s="1905" t="s">
        <v>3454</v>
      </c>
      <c r="H35" s="386">
        <f>SUMIF(107:107,G35,108:108)-SUMIF(107:107,C35,108:108)+100</f>
        <v>100</v>
      </c>
      <c r="I35" s="1905" t="s">
        <v>3454</v>
      </c>
      <c r="J35" s="386">
        <f>SUMIF(107:107,I35,108:108)-SUMIF(107:107,C35,108:108)+100</f>
        <v>100</v>
      </c>
      <c r="K35" s="561">
        <v>1</v>
      </c>
      <c r="L35" s="2721"/>
      <c r="M35" s="2715"/>
      <c r="N35" s="2715"/>
      <c r="O35" s="2715"/>
      <c r="P35" s="3706"/>
      <c r="Q35" s="3452" t="str">
        <f t="shared" si="11"/>
        <v>公共部分装修</v>
      </c>
      <c r="R35" s="704" t="s">
        <v>14</v>
      </c>
      <c r="S35" s="705">
        <f t="shared" si="12"/>
        <v>100</v>
      </c>
      <c r="T35" s="704" t="s">
        <v>14</v>
      </c>
      <c r="U35" s="705">
        <f t="shared" si="13"/>
        <v>100</v>
      </c>
      <c r="V35" s="704" t="s">
        <v>14</v>
      </c>
      <c r="W35" s="705">
        <f t="shared" si="14"/>
        <v>100</v>
      </c>
      <c r="X35" s="3449"/>
      <c r="Y35" s="3708"/>
      <c r="Z35" s="3450" t="str">
        <f t="shared" si="15"/>
        <v>公共部分装修</v>
      </c>
      <c r="AA35" s="3453">
        <f t="shared" si="3"/>
        <v>1</v>
      </c>
      <c r="AB35" s="3453">
        <f t="shared" si="4"/>
        <v>1</v>
      </c>
      <c r="AC35" s="3453">
        <f t="shared" si="5"/>
        <v>1</v>
      </c>
    </row>
    <row r="36" spans="1:29" ht="15">
      <c r="A36" s="423"/>
      <c r="B36" s="375" t="s">
        <v>1786</v>
      </c>
      <c r="C36" s="425">
        <f>'数据-取费表'!N6</f>
        <v>0.75</v>
      </c>
      <c r="D36" s="386">
        <v>100</v>
      </c>
      <c r="E36" s="425">
        <v>0.75</v>
      </c>
      <c r="F36" s="412">
        <f>LOOKUP(E36,110:110,111:111)-LOOKUP(C36,110:110,111:111)+100</f>
        <v>100</v>
      </c>
      <c r="G36" s="425">
        <v>0.75</v>
      </c>
      <c r="H36" s="412">
        <f>LOOKUP(G36,110:110,111:111)-LOOKUP(C36,110:110,111:111)+100</f>
        <v>100</v>
      </c>
      <c r="I36" s="425">
        <v>0.88</v>
      </c>
      <c r="J36" s="386">
        <f>LOOKUP(I36,110:110,111:111)-LOOKUP(C36,110:110,111:111)+100</f>
        <v>102</v>
      </c>
      <c r="K36" s="561">
        <v>2</v>
      </c>
      <c r="L36" s="2721"/>
      <c r="M36" s="2715"/>
      <c r="N36" s="2715"/>
      <c r="O36" s="2715"/>
      <c r="P36" s="3706"/>
      <c r="Q36" s="3452" t="str">
        <f t="shared" si="11"/>
        <v>成新度</v>
      </c>
      <c r="R36" s="704" t="s">
        <v>14</v>
      </c>
      <c r="S36" s="705">
        <f t="shared" si="12"/>
        <v>100</v>
      </c>
      <c r="T36" s="704" t="s">
        <v>14</v>
      </c>
      <c r="U36" s="705">
        <f t="shared" si="13"/>
        <v>100</v>
      </c>
      <c r="V36" s="704" t="s">
        <v>14</v>
      </c>
      <c r="W36" s="705">
        <f t="shared" si="14"/>
        <v>102</v>
      </c>
      <c r="X36" s="3449"/>
      <c r="Y36" s="3708"/>
      <c r="Z36" s="3450" t="str">
        <f t="shared" si="15"/>
        <v>成新度</v>
      </c>
      <c r="AA36" s="3453">
        <f t="shared" si="3"/>
        <v>1</v>
      </c>
      <c r="AB36" s="3453">
        <f t="shared" si="4"/>
        <v>1</v>
      </c>
      <c r="AC36" s="3453">
        <f t="shared" si="5"/>
        <v>0.98039215686274506</v>
      </c>
    </row>
    <row r="37" spans="1:29" s="108" customFormat="1" ht="15" hidden="1">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6"/>
      <c r="Q37" s="3448" t="str">
        <f t="shared" si="11"/>
        <v>市政基础设施</v>
      </c>
      <c r="R37" s="700" t="s">
        <v>14</v>
      </c>
      <c r="S37" s="701">
        <f t="shared" si="12"/>
        <v>100</v>
      </c>
      <c r="T37" s="700" t="s">
        <v>14</v>
      </c>
      <c r="U37" s="701">
        <f t="shared" si="13"/>
        <v>100</v>
      </c>
      <c r="V37" s="700" t="s">
        <v>14</v>
      </c>
      <c r="W37" s="701">
        <f t="shared" si="14"/>
        <v>100</v>
      </c>
      <c r="X37" s="702"/>
      <c r="Y37" s="3708"/>
      <c r="Z37" s="3447" t="str">
        <f t="shared" si="15"/>
        <v>市政基础设施</v>
      </c>
      <c r="AA37" s="703">
        <f t="shared" si="3"/>
        <v>1</v>
      </c>
      <c r="AB37" s="703">
        <f t="shared" si="4"/>
        <v>1</v>
      </c>
      <c r="AC37" s="703">
        <f t="shared" si="5"/>
        <v>1</v>
      </c>
    </row>
    <row r="38" spans="1:29" ht="15">
      <c r="A38" s="423"/>
      <c r="B38" s="375" t="s">
        <v>1788</v>
      </c>
      <c r="C38" s="1905" t="s">
        <v>3496</v>
      </c>
      <c r="D38" s="386">
        <v>100</v>
      </c>
      <c r="E38" s="1905" t="s">
        <v>3496</v>
      </c>
      <c r="F38" s="412">
        <f>SUMIF(114:114,E38,115:115)-SUMIF(114:114,C38,115:115)+100</f>
        <v>100</v>
      </c>
      <c r="G38" s="1905" t="s">
        <v>3496</v>
      </c>
      <c r="H38" s="386">
        <f>SUMIF(114:114,G38,115:115)-SUMIF(114:114,C38,115:115)+100</f>
        <v>100</v>
      </c>
      <c r="I38" s="1905" t="s">
        <v>3496</v>
      </c>
      <c r="J38" s="386">
        <f>SUMIF(114:114,I38,115:115)-SUMIF(114:114,C38,115:115)+100</f>
        <v>100</v>
      </c>
      <c r="K38" s="561">
        <v>2</v>
      </c>
      <c r="L38" s="2721"/>
      <c r="M38" s="2715"/>
      <c r="N38" s="2715"/>
      <c r="O38" s="2715"/>
      <c r="P38" s="3706" t="s">
        <v>1696</v>
      </c>
      <c r="Q38" s="3452" t="str">
        <f t="shared" si="11"/>
        <v>业态</v>
      </c>
      <c r="R38" s="704" t="s">
        <v>14</v>
      </c>
      <c r="S38" s="705">
        <f t="shared" si="12"/>
        <v>100</v>
      </c>
      <c r="T38" s="704" t="s">
        <v>14</v>
      </c>
      <c r="U38" s="705">
        <f t="shared" si="13"/>
        <v>100</v>
      </c>
      <c r="V38" s="704" t="s">
        <v>14</v>
      </c>
      <c r="W38" s="705">
        <f t="shared" si="14"/>
        <v>100</v>
      </c>
      <c r="X38" s="3449"/>
      <c r="Y38" s="3708" t="s">
        <v>1696</v>
      </c>
      <c r="Z38" s="3450" t="str">
        <f t="shared" si="15"/>
        <v>业态</v>
      </c>
      <c r="AA38" s="3453">
        <f t="shared" si="3"/>
        <v>1</v>
      </c>
      <c r="AB38" s="3453">
        <f t="shared" si="4"/>
        <v>1</v>
      </c>
      <c r="AC38" s="3453">
        <f t="shared" si="5"/>
        <v>1</v>
      </c>
    </row>
    <row r="39" spans="1:29" ht="15">
      <c r="A39" s="423"/>
      <c r="B39" s="375" t="s">
        <v>1789</v>
      </c>
      <c r="C39" s="1905" t="s">
        <v>3465</v>
      </c>
      <c r="D39" s="386">
        <v>100</v>
      </c>
      <c r="E39" s="1905" t="s">
        <v>3465</v>
      </c>
      <c r="F39" s="412">
        <f>SUMIF(116:116,E39,117:117)-SUMIF(116:116,C39,117:117)+100</f>
        <v>100</v>
      </c>
      <c r="G39" s="1905" t="s">
        <v>3465</v>
      </c>
      <c r="H39" s="386">
        <f>SUMIF(116:116,G39,117:117)-SUMIF(116:116,C39,117:117)+100</f>
        <v>100</v>
      </c>
      <c r="I39" s="1905" t="s">
        <v>3465</v>
      </c>
      <c r="J39" s="386">
        <f>SUMIF(116:116,I39,117:117)-SUMIF(116:116,C39,117:117)+100</f>
        <v>100</v>
      </c>
      <c r="K39" s="561">
        <v>1</v>
      </c>
      <c r="L39" s="2721"/>
      <c r="M39" s="2715"/>
      <c r="N39" s="2715"/>
      <c r="O39" s="2715"/>
      <c r="P39" s="3706"/>
      <c r="Q39" s="3452" t="str">
        <f t="shared" si="11"/>
        <v>层高</v>
      </c>
      <c r="R39" s="704" t="s">
        <v>14</v>
      </c>
      <c r="S39" s="705">
        <f t="shared" si="12"/>
        <v>100</v>
      </c>
      <c r="T39" s="704" t="s">
        <v>14</v>
      </c>
      <c r="U39" s="705">
        <f t="shared" si="13"/>
        <v>100</v>
      </c>
      <c r="V39" s="704" t="s">
        <v>14</v>
      </c>
      <c r="W39" s="705">
        <f t="shared" si="14"/>
        <v>100</v>
      </c>
      <c r="X39" s="3449"/>
      <c r="Y39" s="3708"/>
      <c r="Z39" s="3450" t="str">
        <f t="shared" si="15"/>
        <v>层高</v>
      </c>
      <c r="AA39" s="3453">
        <f t="shared" si="3"/>
        <v>1</v>
      </c>
      <c r="AB39" s="3453">
        <f t="shared" si="4"/>
        <v>1</v>
      </c>
      <c r="AC39" s="34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6"/>
      <c r="Q40" s="3452" t="str">
        <f t="shared" si="11"/>
        <v>单套建筑面积</v>
      </c>
      <c r="R40" s="704" t="s">
        <v>14</v>
      </c>
      <c r="S40" s="705">
        <f t="shared" si="12"/>
        <v>100</v>
      </c>
      <c r="T40" s="704" t="s">
        <v>14</v>
      </c>
      <c r="U40" s="705">
        <f t="shared" si="13"/>
        <v>100</v>
      </c>
      <c r="V40" s="704" t="s">
        <v>14</v>
      </c>
      <c r="W40" s="705">
        <f t="shared" si="14"/>
        <v>100</v>
      </c>
      <c r="X40" s="3449"/>
      <c r="Y40" s="3708"/>
      <c r="Z40" s="3450" t="str">
        <f t="shared" si="15"/>
        <v>单套建筑面积</v>
      </c>
      <c r="AA40" s="3453">
        <f t="shared" si="3"/>
        <v>1</v>
      </c>
      <c r="AB40" s="3453">
        <f t="shared" si="4"/>
        <v>1</v>
      </c>
      <c r="AC40" s="3453">
        <f t="shared" si="5"/>
        <v>1</v>
      </c>
    </row>
    <row r="41" spans="1:29" s="422" customFormat="1" ht="15" hidden="1">
      <c r="A41" s="419"/>
      <c r="B41" s="34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3453">
        <f t="shared" si="3"/>
        <v>1</v>
      </c>
      <c r="AB41" s="3453">
        <f t="shared" si="4"/>
        <v>1</v>
      </c>
      <c r="AC41" s="3453">
        <f t="shared" si="5"/>
        <v>1</v>
      </c>
    </row>
    <row r="42" spans="1:29" ht="15">
      <c r="A42" s="423"/>
      <c r="B42" s="375" t="s">
        <v>1792</v>
      </c>
      <c r="C42" s="1905" t="s">
        <v>3454</v>
      </c>
      <c r="D42" s="386">
        <v>100</v>
      </c>
      <c r="E42" s="1905" t="s">
        <v>3454</v>
      </c>
      <c r="F42" s="412">
        <f>SUMIF(122:122,E42,123:123)-SUMIF(122:122,C42,123:123)+100</f>
        <v>100</v>
      </c>
      <c r="G42" s="1905" t="s">
        <v>3454</v>
      </c>
      <c r="H42" s="386">
        <f>SUMIF(122:122,G42,123:123)-SUMIF(122:122,C42,123:123)+100</f>
        <v>100</v>
      </c>
      <c r="I42" s="1905" t="s">
        <v>3454</v>
      </c>
      <c r="J42" s="386">
        <f>SUMIF(122:122,I42,123:123)-SUMIF(122:122,C42,123:123)+100</f>
        <v>100</v>
      </c>
      <c r="K42" s="561">
        <v>1</v>
      </c>
      <c r="L42" s="2721"/>
      <c r="M42" s="2715"/>
      <c r="N42" s="2715"/>
      <c r="O42" s="2715"/>
      <c r="P42" s="3706"/>
      <c r="Q42" s="3452" t="str">
        <f t="shared" si="11"/>
        <v>内部装修</v>
      </c>
      <c r="R42" s="704" t="s">
        <v>14</v>
      </c>
      <c r="S42" s="705">
        <f t="shared" si="12"/>
        <v>100</v>
      </c>
      <c r="T42" s="704" t="s">
        <v>14</v>
      </c>
      <c r="U42" s="705">
        <f t="shared" si="13"/>
        <v>100</v>
      </c>
      <c r="V42" s="704" t="s">
        <v>14</v>
      </c>
      <c r="W42" s="705">
        <f t="shared" si="14"/>
        <v>100</v>
      </c>
      <c r="X42" s="3449"/>
      <c r="Y42" s="3708"/>
      <c r="Z42" s="3450" t="str">
        <f t="shared" si="15"/>
        <v>内部装修</v>
      </c>
      <c r="AA42" s="3453">
        <f t="shared" si="3"/>
        <v>1</v>
      </c>
      <c r="AB42" s="3453">
        <f t="shared" si="4"/>
        <v>1</v>
      </c>
      <c r="AC42" s="34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6"/>
      <c r="Q43" s="3452" t="str">
        <f t="shared" si="11"/>
        <v>内部装修维护情况</v>
      </c>
      <c r="R43" s="704" t="s">
        <v>14</v>
      </c>
      <c r="S43" s="705">
        <f t="shared" si="12"/>
        <v>100</v>
      </c>
      <c r="T43" s="704" t="s">
        <v>14</v>
      </c>
      <c r="U43" s="705">
        <f t="shared" si="13"/>
        <v>100</v>
      </c>
      <c r="V43" s="704" t="s">
        <v>14</v>
      </c>
      <c r="W43" s="705">
        <f t="shared" si="14"/>
        <v>100</v>
      </c>
      <c r="X43" s="3449"/>
      <c r="Y43" s="3708"/>
      <c r="Z43" s="3450" t="str">
        <f t="shared" si="15"/>
        <v>内部装修维护情况</v>
      </c>
      <c r="AA43" s="3453">
        <f t="shared" si="3"/>
        <v>1</v>
      </c>
      <c r="AB43" s="3453">
        <f t="shared" si="4"/>
        <v>1</v>
      </c>
      <c r="AC43" s="3453">
        <f t="shared" si="5"/>
        <v>1</v>
      </c>
    </row>
    <row r="44" spans="1:29" s="108" customFormat="1" ht="15">
      <c r="A44" s="424"/>
      <c r="B44" s="3465" t="s">
        <v>3487</v>
      </c>
      <c r="C44" s="420">
        <v>2009</v>
      </c>
      <c r="D44" s="127">
        <v>100</v>
      </c>
      <c r="E44" s="385" t="s">
        <v>3490</v>
      </c>
      <c r="F44" s="376">
        <f>SUMIF(126:126,E44,127:127)-SUMIF(126:126,C44,127:127)+100</f>
        <v>100</v>
      </c>
      <c r="G44" s="385" t="s">
        <v>3490</v>
      </c>
      <c r="H44" s="127">
        <f>SUMIF(126:126,G44,127:127)-SUMIF(126:126,C44,127:127)+100</f>
        <v>100</v>
      </c>
      <c r="I44" s="385" t="s">
        <v>3512</v>
      </c>
      <c r="J44" s="127">
        <f>SUMIF(126:126,I44,127:127)-SUMIF(126:126,C44,127:127)+100</f>
        <v>100</v>
      </c>
      <c r="K44" s="562"/>
      <c r="L44" s="2716"/>
      <c r="M44" s="2717"/>
      <c r="N44" s="2717"/>
      <c r="O44" s="2717"/>
      <c r="P44" s="3706"/>
      <c r="Q44" s="3448" t="str">
        <f t="shared" si="11"/>
        <v>建成年代</v>
      </c>
      <c r="R44" s="700" t="s">
        <v>14</v>
      </c>
      <c r="S44" s="701">
        <f t="shared" si="12"/>
        <v>100</v>
      </c>
      <c r="T44" s="700" t="s">
        <v>14</v>
      </c>
      <c r="U44" s="701">
        <f t="shared" si="13"/>
        <v>100</v>
      </c>
      <c r="V44" s="700" t="s">
        <v>14</v>
      </c>
      <c r="W44" s="701">
        <f t="shared" si="14"/>
        <v>100</v>
      </c>
      <c r="X44" s="702"/>
      <c r="Y44" s="3708"/>
      <c r="Z44" s="3447"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6"/>
      <c r="Q45" s="3452">
        <f t="shared" si="11"/>
        <v>111</v>
      </c>
      <c r="R45" s="704" t="s">
        <v>14</v>
      </c>
      <c r="S45" s="705">
        <f t="shared" si="12"/>
        <v>100</v>
      </c>
      <c r="T45" s="704" t="s">
        <v>14</v>
      </c>
      <c r="U45" s="705">
        <f t="shared" si="13"/>
        <v>100</v>
      </c>
      <c r="V45" s="704" t="s">
        <v>14</v>
      </c>
      <c r="W45" s="705">
        <f t="shared" si="14"/>
        <v>100</v>
      </c>
      <c r="X45" s="3449"/>
      <c r="Y45" s="3708"/>
      <c r="Z45" s="3450">
        <f t="shared" si="15"/>
        <v>111</v>
      </c>
      <c r="AA45" s="3453">
        <f t="shared" si="3"/>
        <v>1</v>
      </c>
      <c r="AB45" s="3453">
        <f t="shared" si="4"/>
        <v>1</v>
      </c>
      <c r="AC45" s="34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7"/>
      <c r="Q46" s="3452">
        <f t="shared" si="11"/>
        <v>111</v>
      </c>
      <c r="R46" s="704" t="s">
        <v>14</v>
      </c>
      <c r="S46" s="705">
        <f t="shared" si="12"/>
        <v>100</v>
      </c>
      <c r="T46" s="704" t="s">
        <v>14</v>
      </c>
      <c r="U46" s="705">
        <f t="shared" si="13"/>
        <v>100</v>
      </c>
      <c r="V46" s="704" t="s">
        <v>14</v>
      </c>
      <c r="W46" s="705">
        <f t="shared" si="14"/>
        <v>100</v>
      </c>
      <c r="X46" s="3449"/>
      <c r="Y46" s="3709"/>
      <c r="Z46" s="3450">
        <f t="shared" si="15"/>
        <v>111</v>
      </c>
      <c r="AA46" s="3453">
        <f t="shared" si="3"/>
        <v>1</v>
      </c>
      <c r="AB46" s="3453">
        <f t="shared" si="4"/>
        <v>1</v>
      </c>
      <c r="AC46" s="3453">
        <f t="shared" si="5"/>
        <v>1</v>
      </c>
    </row>
    <row r="47" spans="1:29" ht="15">
      <c r="A47" s="430" t="s">
        <v>1708</v>
      </c>
      <c r="B47" s="431"/>
      <c r="C47" s="1153" t="s">
        <v>0</v>
      </c>
      <c r="D47" s="1154"/>
      <c r="E47" s="1155">
        <v>115465</v>
      </c>
      <c r="F47" s="1156"/>
      <c r="G47" s="1157">
        <v>115534</v>
      </c>
      <c r="H47" s="1158"/>
      <c r="I47" s="1155">
        <v>112380</v>
      </c>
      <c r="J47" s="1158"/>
      <c r="K47" s="713"/>
      <c r="L47" s="2723"/>
      <c r="M47" s="2724"/>
      <c r="N47" s="2715"/>
      <c r="O47" s="2724"/>
      <c r="P47" s="3701" t="str">
        <f>A47</f>
        <v>成交单价（元/平方米）</v>
      </c>
      <c r="Q47" s="3701"/>
      <c r="R47" s="3732">
        <f>E47</f>
        <v>115465</v>
      </c>
      <c r="S47" s="3732"/>
      <c r="T47" s="3732">
        <f>G47</f>
        <v>115534</v>
      </c>
      <c r="U47" s="3732"/>
      <c r="V47" s="3732">
        <f>I47</f>
        <v>112380</v>
      </c>
      <c r="W47" s="3732"/>
      <c r="X47" s="689"/>
      <c r="Y47" s="711"/>
      <c r="Z47" s="689"/>
      <c r="AA47" s="689"/>
      <c r="AB47" s="689"/>
      <c r="AC47" s="689"/>
    </row>
    <row r="48" spans="1:29" ht="15.75" thickBot="1">
      <c r="A48" s="437" t="s">
        <v>1709</v>
      </c>
      <c r="B48" s="438"/>
      <c r="C48" s="1159">
        <f>R49</f>
        <v>112250</v>
      </c>
      <c r="D48" s="2316" t="s">
        <v>2137</v>
      </c>
      <c r="E48" s="1160">
        <f>R48</f>
        <v>113201</v>
      </c>
      <c r="F48" s="2317"/>
      <c r="G48" s="1159">
        <f>T48</f>
        <v>115534</v>
      </c>
      <c r="H48" s="2317"/>
      <c r="I48" s="1160">
        <f>V48</f>
        <v>108016</v>
      </c>
      <c r="J48" s="2317"/>
      <c r="K48" s="2319">
        <f>F48+H48+J48</f>
        <v>0</v>
      </c>
      <c r="L48" s="2723"/>
      <c r="M48" s="2724"/>
      <c r="N48" s="2715"/>
      <c r="O48" s="2724"/>
      <c r="P48" s="3701" t="str">
        <f>A48</f>
        <v>比较价值（元/平方米）</v>
      </c>
      <c r="Q48" s="3701"/>
      <c r="R48" s="3702">
        <f>IF(F1="售价",ROUND(PRODUCT(R47,AA7:AA46),0),ROUND(PRODUCT(R47,AA7:AA46),1))</f>
        <v>113201</v>
      </c>
      <c r="S48" s="3702"/>
      <c r="T48" s="3702">
        <f>IF(F1="售价",ROUND(PRODUCT(T47,AB7:AB46),0),ROUND(PRODUCT(T47,AB7:AB46),1))</f>
        <v>115534</v>
      </c>
      <c r="U48" s="3702"/>
      <c r="V48" s="3702">
        <f>IF(F1="售价",ROUND(PRODUCT(V47,AC7:AC46),0),ROUND(PRODUCT(V47,AC7:AC46),1))</f>
        <v>108016</v>
      </c>
      <c r="W48" s="3702"/>
      <c r="X48" s="689"/>
      <c r="Y48" s="689"/>
      <c r="Z48" s="689"/>
      <c r="AA48" s="689"/>
      <c r="AB48" s="689"/>
      <c r="AC48" s="689"/>
    </row>
    <row r="49" spans="1:29" ht="15.75" thickBot="1">
      <c r="A49" s="441" t="s">
        <v>1794</v>
      </c>
      <c r="B49" s="442"/>
      <c r="C49" s="1162">
        <f>R49</f>
        <v>112250</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112250</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1.9999823323115562E-2</v>
      </c>
      <c r="F52" s="449" t="str">
        <f>IF(OR(E52&gt;=0.3,E52&lt;=-0.3),"超过30%","")</f>
        <v/>
      </c>
      <c r="G52" s="448">
        <f>IF(G47&lt;G48,G48/G47-1,G47/G48-1)</f>
        <v>0</v>
      </c>
      <c r="H52" s="449" t="str">
        <f>IF(OR(G52&gt;=0.3,G52&lt;=-0.3),"超过30%","")</f>
        <v/>
      </c>
      <c r="I52" s="448">
        <f>IF(I47&lt;I48,I48/I47-1,I47/I48-1)</f>
        <v>4.0401422011553834E-2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2.0609358574570802E-2</v>
      </c>
      <c r="F53" s="449" t="str">
        <f>IF(OR(E53&gt;=0.2,E53&lt;=-0.2),"超过20%","")</f>
        <v/>
      </c>
      <c r="G53" s="448">
        <f>IF(G48&lt;I48,I48/G48-1,G48/I48-1)</f>
        <v>6.9600799881499142E-2</v>
      </c>
      <c r="H53" s="449" t="str">
        <f>IF(OR(G53&gt;=0.2,G53&lt;=-0.2),"超过20%","")</f>
        <v/>
      </c>
      <c r="I53" s="448">
        <f>IF(I48&lt;E48,E48/I48-1,I48/E48-1)</f>
        <v>4.8002147829951047E-2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5.9758368336715328E-4</v>
      </c>
      <c r="F54" s="449" t="str">
        <f>IF(OR(E54&gt;=0.3,E54&lt;=-0.3),"超过30%","")</f>
        <v/>
      </c>
      <c r="G54" s="448">
        <f>IF(G47&lt;I47,I47/G47-1,G47/I47-1)</f>
        <v>2.806549208044129E-2</v>
      </c>
      <c r="H54" s="449" t="str">
        <f>IF(OR(G54&gt;=0.3,G54&lt;=-0.3),"超过30%","")</f>
        <v/>
      </c>
      <c r="I54" s="448">
        <f>IF(I47&lt;E47,E47/I47-1,I47/E47-1)</f>
        <v>2.745150382630368E-2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2024-9</v>
      </c>
      <c r="D58" s="1184">
        <f>EDATE(C58,-1)</f>
        <v>45505</v>
      </c>
      <c r="E58" s="1184">
        <f t="shared" ref="E58:N58" si="16">EDATE(D58,-1)</f>
        <v>45474</v>
      </c>
      <c r="F58" s="1184">
        <f t="shared" si="16"/>
        <v>45444</v>
      </c>
      <c r="G58" s="1184">
        <f t="shared" si="16"/>
        <v>45413</v>
      </c>
      <c r="H58" s="1184">
        <f t="shared" si="16"/>
        <v>45383</v>
      </c>
      <c r="I58" s="1184">
        <f t="shared" si="16"/>
        <v>45352</v>
      </c>
      <c r="J58" s="1184">
        <f t="shared" si="16"/>
        <v>45323</v>
      </c>
      <c r="K58" s="1184">
        <f t="shared" si="16"/>
        <v>45292</v>
      </c>
      <c r="L58" s="1184">
        <f t="shared" si="16"/>
        <v>45261</v>
      </c>
      <c r="M58" s="1184">
        <f t="shared" si="16"/>
        <v>45231</v>
      </c>
      <c r="N58" s="1184">
        <f t="shared" si="16"/>
        <v>45200</v>
      </c>
      <c r="O58" s="1184">
        <f>EDATE(N58,-1)</f>
        <v>45170</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8" t="s">
        <v>3434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9" t="s">
        <v>3435</v>
      </c>
      <c r="D86" s="3459" t="s">
        <v>3436</v>
      </c>
      <c r="E86" s="3459" t="s">
        <v>3438</v>
      </c>
      <c r="F86" s="3459" t="s">
        <v>3439</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3415</v>
      </c>
      <c r="D88" s="503" t="s">
        <v>3414</v>
      </c>
      <c r="E88" s="503" t="s">
        <v>3416</v>
      </c>
      <c r="F88" s="1926" t="s">
        <v>3417</v>
      </c>
      <c r="G88" s="503" t="s">
        <v>3440</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9" t="s">
        <v>3441</v>
      </c>
      <c r="D90" s="3459" t="s">
        <v>3443</v>
      </c>
      <c r="E90" s="3459" t="s">
        <v>3446</v>
      </c>
      <c r="F90" s="3459" t="s">
        <v>3444</v>
      </c>
      <c r="G90" s="3459" t="s">
        <v>3445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3447</v>
      </c>
      <c r="D92" s="503" t="s">
        <v>3448</v>
      </c>
      <c r="E92" s="503" t="s">
        <v>3449</v>
      </c>
      <c r="F92" s="503" t="s">
        <v>3478</v>
      </c>
      <c r="G92" s="503" t="s">
        <v>3479</v>
      </c>
      <c r="H92" s="503" t="s">
        <v>3450</v>
      </c>
      <c r="I92" s="503" t="s">
        <v>3507</v>
      </c>
      <c r="J92" s="503" t="s">
        <v>3508</v>
      </c>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f>'数据-取费表'!U23*100</f>
        <v>70</v>
      </c>
      <c r="E93" s="485">
        <f>'数据-取费表'!U24*100</f>
        <v>60</v>
      </c>
      <c r="F93" s="485">
        <f>'数据-取费表'!U25*100</f>
        <v>50</v>
      </c>
      <c r="G93" s="485">
        <f>'数据-取费表'!U26*100</f>
        <v>50</v>
      </c>
      <c r="H93" s="485">
        <f>ROUND((C93+D93)/2,0)</f>
        <v>85</v>
      </c>
      <c r="I93" s="485">
        <v>50</v>
      </c>
      <c r="J93" s="485">
        <f>ROUND((C93+I93)/2,0)</f>
        <v>75</v>
      </c>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0" t="s">
        <v>3452</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100(含)-300</v>
      </c>
      <c r="E102" s="527" t="str">
        <f t="shared" si="24"/>
        <v>300(含)-500</v>
      </c>
      <c r="F102" s="527" t="str">
        <f t="shared" si="24"/>
        <v>500(含)-700</v>
      </c>
      <c r="G102" s="527" t="str">
        <f t="shared" si="24"/>
        <v>700(含)-</v>
      </c>
      <c r="H102" s="527" t="str">
        <f t="shared" si="24"/>
        <v>(含)-</v>
      </c>
      <c r="I102" s="527" t="str">
        <f t="shared" si="24"/>
        <v>(含)-</v>
      </c>
      <c r="J102" s="527" t="str">
        <f t="shared" si="24"/>
        <v>(含)-</v>
      </c>
      <c r="K102" s="527" t="str">
        <f t="shared" si="24"/>
        <v>(含)-</v>
      </c>
      <c r="L102" s="527" t="str">
        <f t="shared" si="24"/>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700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9" t="s">
        <v>3453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9" t="s">
        <v>3455</v>
      </c>
      <c r="D107" s="3459" t="s">
        <v>3456</v>
      </c>
      <c r="E107" s="3459" t="s">
        <v>3457</v>
      </c>
      <c r="F107" s="3461" t="s">
        <v>3458</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9" t="s">
        <v>3460</v>
      </c>
      <c r="D112" s="3459" t="s">
        <v>3461</v>
      </c>
      <c r="E112" s="3459" t="s">
        <v>3462</v>
      </c>
      <c r="F112" s="3459" t="s">
        <v>3463</v>
      </c>
      <c r="G112" s="3459" t="s">
        <v>3464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9" t="s">
        <v>3495</v>
      </c>
      <c r="D114" s="3459" t="s">
        <v>3497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9" t="s">
        <v>3466</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9" t="s">
        <v>3455</v>
      </c>
      <c r="D122" s="3459" t="s">
        <v>3456</v>
      </c>
      <c r="E122" s="3459" t="s">
        <v>3457</v>
      </c>
      <c r="F122" s="3461" t="s">
        <v>3458</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t="str">
        <f>B44</f>
        <v>建成年代</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4" t="s">
        <v>2084</v>
      </c>
      <c r="D1" s="3775"/>
      <c r="E1" s="3775"/>
      <c r="F1" s="3775"/>
      <c r="G1" s="3775"/>
      <c r="H1" s="3775"/>
      <c r="I1" s="3775"/>
      <c r="J1" s="3775"/>
      <c r="K1" s="3775"/>
      <c r="L1" s="3775"/>
      <c r="M1" s="3775"/>
      <c r="N1" s="3775"/>
      <c r="O1" s="3775"/>
      <c r="P1" s="3775"/>
      <c r="Q1" s="3775"/>
      <c r="R1" s="3775"/>
      <c r="S1" s="3776"/>
      <c r="T1" s="982" t="s">
        <v>2085</v>
      </c>
    </row>
    <row r="2" spans="1:45" s="655" customFormat="1" ht="38.25">
      <c r="A2" s="983"/>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'比较法-租金商业'!C103</f>
        <v>0</v>
      </c>
      <c r="D3" s="657">
        <f>'比较法-租金商业'!D103</f>
        <v>100</v>
      </c>
      <c r="E3" s="657">
        <f>'比较法-租金商业'!E103</f>
        <v>300</v>
      </c>
      <c r="F3" s="657">
        <f>'比较法-租金商业'!F103</f>
        <v>500</v>
      </c>
      <c r="G3" s="657">
        <f>'比较法-租金商业'!G103</f>
        <v>700</v>
      </c>
      <c r="H3" s="657"/>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'比较法-租金商业'!C104</f>
        <v>100</v>
      </c>
      <c r="D4" s="988">
        <f>'比较法-租金商业'!D104</f>
        <v>99</v>
      </c>
      <c r="E4" s="988">
        <f>'比较法-租金商业'!E104</f>
        <v>98</v>
      </c>
      <c r="F4" s="988">
        <f>'比较法-租金商业'!F104</f>
        <v>97</v>
      </c>
      <c r="G4" s="988">
        <f>'比较法-租金商业'!G104</f>
        <v>96</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'比较法-租金商业'!C92</f>
        <v>1层</v>
      </c>
      <c r="D17" s="1009" t="str">
        <f>'比较法-租金商业'!D92</f>
        <v>2层</v>
      </c>
      <c r="E17" s="1009" t="str">
        <f>'比较法-租金商业'!E92</f>
        <v>3层</v>
      </c>
      <c r="F17" s="1009" t="str">
        <f>'比较法-租金商业'!F92</f>
        <v>4层</v>
      </c>
      <c r="G17" s="1009" t="str">
        <f>'比较法-租金商业'!G92</f>
        <v>5层</v>
      </c>
      <c r="H17" s="1009" t="str">
        <f>'比较法-租金商业'!H92</f>
        <v>1-2层</v>
      </c>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'比较法-租金商业'!C93</f>
        <v>100</v>
      </c>
      <c r="D18" s="1021">
        <f>'比较法-租金商业'!D93</f>
        <v>70</v>
      </c>
      <c r="E18" s="1021">
        <f>'比较法-租金商业'!E93</f>
        <v>60</v>
      </c>
      <c r="F18" s="1021">
        <f>'比较法-租金商业'!F93</f>
        <v>50</v>
      </c>
      <c r="G18" s="1021">
        <f>'比较法-租金商业'!G93</f>
        <v>50</v>
      </c>
      <c r="H18" s="1021">
        <f>'比较法-租金商业'!H93</f>
        <v>85</v>
      </c>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6892</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74080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930.34999999999991</v>
      </c>
      <c r="C22" s="3771" t="s">
        <v>27</v>
      </c>
      <c r="D22" s="3772"/>
      <c r="E22" s="3772"/>
      <c r="F22" s="3772"/>
      <c r="G22" s="3772"/>
      <c r="H22" s="3772"/>
      <c r="I22" s="3772"/>
      <c r="J22" s="3772"/>
      <c r="K22" s="3772"/>
      <c r="L22" s="3772"/>
      <c r="M22" s="3772"/>
      <c r="N22" s="3772"/>
      <c r="O22" s="3772"/>
      <c r="P22" s="3772"/>
      <c r="Q22" s="3773"/>
      <c r="R22" s="662">
        <f>ROUND(S22*10000/B22,0)</f>
        <v>74080</v>
      </c>
      <c r="S22" s="21">
        <f>SUM(S24:S10000)</f>
        <v>6892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2" t="s">
        <v>3469</v>
      </c>
      <c r="B24" s="664">
        <f>'数据-基础表'!I13</f>
        <v>186.07</v>
      </c>
      <c r="C24" s="2809">
        <v>1</v>
      </c>
      <c r="D24" s="2810"/>
      <c r="E24" s="2809">
        <v>1</v>
      </c>
      <c r="F24" s="2810"/>
      <c r="G24" s="2809">
        <v>1</v>
      </c>
      <c r="H24" s="2810"/>
      <c r="I24" s="2809">
        <v>1</v>
      </c>
      <c r="J24" s="2810"/>
      <c r="K24" s="2809">
        <v>1</v>
      </c>
      <c r="L24" s="2810"/>
      <c r="M24" s="2809">
        <v>1</v>
      </c>
      <c r="N24" s="2810"/>
      <c r="O24" s="2809">
        <v>1</v>
      </c>
      <c r="P24" s="2810" t="s">
        <v>3468</v>
      </c>
      <c r="Q24" s="2809">
        <v>1</v>
      </c>
      <c r="R24" s="667">
        <f>'比较法-商业'!C49</f>
        <v>112250</v>
      </c>
      <c r="S24" s="665">
        <f t="shared" ref="S24:S54" si="11">ROUND(R24*B24/10000,0)</f>
        <v>2089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3474</v>
      </c>
      <c r="B25" s="664">
        <f>'数据-基础表'!I14</f>
        <v>186.07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3470</v>
      </c>
      <c r="Q25" s="21">
        <f>(SUMIF($17:$17,P25,$18:$18)-SUMIF($17:$17,$P$24,$18:$18)+100)/100</f>
        <v>0.7</v>
      </c>
      <c r="R25" s="662">
        <f>IF(B25="",0,ROUND($R$24*C25*E25*G25*I25*K25*M25*O25*Q25,0))</f>
        <v>78575</v>
      </c>
      <c r="S25" s="316">
        <f t="shared" si="11"/>
        <v>1462</v>
      </c>
    </row>
    <row r="26" spans="1:45">
      <c r="A26" s="150" t="s">
        <v>3475</v>
      </c>
      <c r="B26" s="664">
        <f>'数据-基础表'!I15</f>
        <v>186.07</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3471</v>
      </c>
      <c r="Q26" s="21">
        <f t="shared" ref="Q26:Q89" si="19">(SUMIF($17:$17,P26,$18:$18)-SUMIF($17:$17,$P$24,$18:$18)+100)/100</f>
        <v>0.6</v>
      </c>
      <c r="R26" s="662">
        <f t="shared" ref="R26:R89" si="20">IF(B26="",0,ROUND($R$24*C26*E26*G26*I26*K26*M26*O26*Q26,0))</f>
        <v>67350</v>
      </c>
      <c r="S26" s="316">
        <f t="shared" si="11"/>
        <v>1253</v>
      </c>
    </row>
    <row r="27" spans="1:45">
      <c r="A27" s="150" t="s">
        <v>3476</v>
      </c>
      <c r="B27" s="664">
        <f>'数据-基础表'!I16</f>
        <v>186.07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3472</v>
      </c>
      <c r="Q27" s="21">
        <f t="shared" si="19"/>
        <v>0.5</v>
      </c>
      <c r="R27" s="662">
        <f t="shared" si="20"/>
        <v>56125</v>
      </c>
      <c r="S27" s="316">
        <f t="shared" si="11"/>
        <v>1044</v>
      </c>
    </row>
    <row r="28" spans="1:45">
      <c r="A28" s="150" t="s">
        <v>3477</v>
      </c>
      <c r="B28" s="664">
        <f>'数据-基础表'!I17</f>
        <v>186.07</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t="s">
        <v>3473</v>
      </c>
      <c r="Q28" s="21">
        <f t="shared" si="19"/>
        <v>0.5</v>
      </c>
      <c r="R28" s="662">
        <f t="shared" si="20"/>
        <v>56125</v>
      </c>
      <c r="S28" s="316">
        <f t="shared" si="11"/>
        <v>1044</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2671</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2671</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8" zoomScale="80" zoomScaleNormal="80" workbookViewId="0">
      <selection activeCell="I27" sqref="I27"/>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6" t="s">
        <v>2608</v>
      </c>
      <c r="B20" s="3781" t="s">
        <v>2629</v>
      </c>
      <c r="C20" s="3102" t="s">
        <v>2440</v>
      </c>
      <c r="D20" s="3103"/>
      <c r="E20" s="3104">
        <v>1</v>
      </c>
      <c r="F20" s="3105" t="s">
        <v>2441</v>
      </c>
      <c r="G20" s="3105"/>
    </row>
    <row r="21" spans="1:13" ht="19.5" customHeight="1">
      <c r="A21" s="3787"/>
      <c r="B21" s="3780"/>
      <c r="C21" s="3106" t="s">
        <v>2442</v>
      </c>
      <c r="D21" s="3107"/>
      <c r="E21" s="3108">
        <v>1</v>
      </c>
      <c r="F21" s="3105" t="s">
        <v>2443</v>
      </c>
      <c r="G21" s="3105"/>
    </row>
    <row r="22" spans="1:13" ht="19.5" customHeight="1">
      <c r="A22" s="3787"/>
      <c r="B22" s="3780"/>
      <c r="C22" s="3106" t="s">
        <v>2444</v>
      </c>
      <c r="D22" s="3107"/>
      <c r="E22" s="3108">
        <v>0.9</v>
      </c>
      <c r="F22" s="3105" t="s">
        <v>2445</v>
      </c>
      <c r="G22" s="3105"/>
    </row>
    <row r="23" spans="1:13" ht="19.5" customHeight="1">
      <c r="A23" s="3787"/>
      <c r="B23" s="3780"/>
      <c r="C23" s="3106" t="s">
        <v>2446</v>
      </c>
      <c r="D23" s="3107"/>
      <c r="E23" s="3108">
        <v>0.9</v>
      </c>
      <c r="F23" s="3105" t="s">
        <v>2447</v>
      </c>
      <c r="G23" s="3105"/>
    </row>
    <row r="24" spans="1:13" ht="19.5" customHeight="1">
      <c r="A24" s="3787"/>
      <c r="B24" s="3780"/>
      <c r="C24" s="3106" t="s">
        <v>2448</v>
      </c>
      <c r="D24" s="3107"/>
      <c r="E24" s="3108">
        <v>0.8</v>
      </c>
      <c r="F24" s="3105" t="s">
        <v>2449</v>
      </c>
      <c r="G24" s="3105"/>
    </row>
    <row r="25" spans="1:13" ht="19.5" customHeight="1" thickBot="1">
      <c r="A25" s="3788"/>
      <c r="B25" s="3782"/>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83" t="s">
        <v>2632</v>
      </c>
      <c r="B27" s="3781" t="s">
        <v>2613</v>
      </c>
      <c r="C27" s="3102" t="s">
        <v>2453</v>
      </c>
      <c r="D27" s="3103"/>
      <c r="E27" s="3104">
        <v>1</v>
      </c>
      <c r="F27" s="3105" t="s">
        <v>2454</v>
      </c>
      <c r="G27" s="3105"/>
    </row>
    <row r="28" spans="1:13" ht="19.5" customHeight="1">
      <c r="A28" s="3784"/>
      <c r="B28" s="3780"/>
      <c r="C28" s="3106" t="s">
        <v>2455</v>
      </c>
      <c r="D28" s="3107"/>
      <c r="E28" s="3108">
        <v>1</v>
      </c>
      <c r="F28" s="3105" t="s">
        <v>2456</v>
      </c>
      <c r="G28" s="3105"/>
    </row>
    <row r="29" spans="1:13" ht="19.5" customHeight="1">
      <c r="A29" s="3784"/>
      <c r="B29" s="3780"/>
      <c r="C29" s="3106" t="s">
        <v>2457</v>
      </c>
      <c r="D29" s="3107"/>
      <c r="E29" s="3108">
        <v>0.8</v>
      </c>
      <c r="F29" s="3105" t="s">
        <v>2458</v>
      </c>
      <c r="G29" s="3105"/>
    </row>
    <row r="30" spans="1:13" ht="19.5" customHeight="1">
      <c r="A30" s="3784"/>
      <c r="B30" s="3780"/>
      <c r="C30" s="3106" t="s">
        <v>2459</v>
      </c>
      <c r="D30" s="3107"/>
      <c r="E30" s="3108">
        <v>0.8</v>
      </c>
      <c r="F30" s="3105" t="s">
        <v>2460</v>
      </c>
      <c r="G30" s="3105"/>
    </row>
    <row r="31" spans="1:13" ht="19.5" customHeight="1">
      <c r="A31" s="3784"/>
      <c r="B31" s="3780"/>
      <c r="C31" s="3106" t="s">
        <v>2461</v>
      </c>
      <c r="D31" s="3107"/>
      <c r="E31" s="3108">
        <v>0.8</v>
      </c>
      <c r="F31" s="3105" t="s">
        <v>2462</v>
      </c>
      <c r="G31" s="3105"/>
    </row>
    <row r="32" spans="1:13" ht="19.5" customHeight="1">
      <c r="A32" s="3784"/>
      <c r="B32" s="3780"/>
      <c r="C32" s="3106" t="s">
        <v>2463</v>
      </c>
      <c r="D32" s="3107"/>
      <c r="E32" s="3108">
        <v>0.7</v>
      </c>
      <c r="F32" s="3105" t="s">
        <v>2464</v>
      </c>
      <c r="G32" s="3105"/>
    </row>
    <row r="33" spans="1:7" ht="19.5" customHeight="1">
      <c r="A33" s="3784"/>
      <c r="B33" s="3780"/>
      <c r="C33" s="3106" t="s">
        <v>2465</v>
      </c>
      <c r="D33" s="3107"/>
      <c r="E33" s="3108">
        <v>0.8</v>
      </c>
      <c r="F33" s="3105" t="s">
        <v>2466</v>
      </c>
      <c r="G33" s="3105"/>
    </row>
    <row r="34" spans="1:7" ht="19.5" customHeight="1">
      <c r="A34" s="3784"/>
      <c r="B34" s="3780"/>
      <c r="C34" s="3106" t="s">
        <v>2467</v>
      </c>
      <c r="D34" s="3107"/>
      <c r="E34" s="3108">
        <v>0.6</v>
      </c>
      <c r="F34" s="3105" t="s">
        <v>2468</v>
      </c>
      <c r="G34" s="3105"/>
    </row>
    <row r="35" spans="1:7" ht="19.5" customHeight="1">
      <c r="A35" s="3784"/>
      <c r="B35" s="3780"/>
      <c r="C35" s="3106" t="s">
        <v>2469</v>
      </c>
      <c r="D35" s="3107"/>
      <c r="E35" s="3108">
        <v>0.2</v>
      </c>
      <c r="F35" s="3105" t="s">
        <v>2470</v>
      </c>
      <c r="G35" s="3105"/>
    </row>
    <row r="36" spans="1:7" ht="19.5" customHeight="1">
      <c r="A36" s="3784"/>
      <c r="B36" s="3780"/>
      <c r="C36" s="3106" t="s">
        <v>2471</v>
      </c>
      <c r="D36" s="3107"/>
      <c r="E36" s="3108">
        <v>0.2</v>
      </c>
      <c r="F36" s="3105" t="s">
        <v>2472</v>
      </c>
      <c r="G36" s="3105"/>
    </row>
    <row r="37" spans="1:7" ht="19.5" customHeight="1">
      <c r="A37" s="3784"/>
      <c r="B37" s="3778" t="s">
        <v>2633</v>
      </c>
      <c r="C37" s="3106" t="s">
        <v>2473</v>
      </c>
      <c r="D37" s="3107"/>
      <c r="E37" s="3108">
        <v>0.6</v>
      </c>
      <c r="F37" s="3105" t="s">
        <v>2474</v>
      </c>
      <c r="G37" s="3105"/>
    </row>
    <row r="38" spans="1:7" ht="19.5" customHeight="1">
      <c r="A38" s="3784"/>
      <c r="B38" s="3780"/>
      <c r="C38" s="3106" t="s">
        <v>2475</v>
      </c>
      <c r="D38" s="3107"/>
      <c r="E38" s="3108">
        <v>0.6</v>
      </c>
      <c r="F38" s="3105" t="s">
        <v>2476</v>
      </c>
      <c r="G38" s="3105"/>
    </row>
    <row r="39" spans="1:7" ht="19.5" customHeight="1" thickBot="1">
      <c r="A39" s="3785"/>
      <c r="B39" s="3782"/>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6" t="s">
        <v>2611</v>
      </c>
      <c r="B41" s="3781" t="s">
        <v>2635</v>
      </c>
      <c r="C41" s="3102" t="s">
        <v>2480</v>
      </c>
      <c r="D41" s="3103"/>
      <c r="E41" s="3104">
        <v>1</v>
      </c>
      <c r="F41" s="3105" t="s">
        <v>2481</v>
      </c>
      <c r="G41" s="3105"/>
    </row>
    <row r="42" spans="1:7" ht="19.5" customHeight="1">
      <c r="A42" s="3787"/>
      <c r="B42" s="3780"/>
      <c r="C42" s="3106" t="s">
        <v>2482</v>
      </c>
      <c r="D42" s="3107"/>
      <c r="E42" s="3108">
        <v>1</v>
      </c>
      <c r="F42" s="3105" t="s">
        <v>2483</v>
      </c>
      <c r="G42" s="3105"/>
    </row>
    <row r="43" spans="1:7" ht="19.5" customHeight="1">
      <c r="A43" s="3787"/>
      <c r="B43" s="3779"/>
      <c r="C43" s="3106" t="s">
        <v>2484</v>
      </c>
      <c r="D43" s="3107"/>
      <c r="E43" s="3108">
        <v>1.5</v>
      </c>
      <c r="F43" s="3105" t="s">
        <v>2485</v>
      </c>
      <c r="G43" s="3105"/>
    </row>
    <row r="44" spans="1:7" ht="19.5" customHeight="1">
      <c r="A44" s="3787"/>
      <c r="B44" s="3117" t="s">
        <v>2636</v>
      </c>
      <c r="C44" s="3106" t="s">
        <v>2637</v>
      </c>
      <c r="D44" s="3107"/>
      <c r="E44" s="3108">
        <v>2</v>
      </c>
      <c r="F44" s="3105" t="s">
        <v>2486</v>
      </c>
      <c r="G44" s="3105"/>
    </row>
    <row r="45" spans="1:7" ht="19.5" customHeight="1">
      <c r="A45" s="3787"/>
      <c r="B45" s="3778" t="s">
        <v>2638</v>
      </c>
      <c r="C45" s="3106" t="s">
        <v>2487</v>
      </c>
      <c r="D45" s="3107"/>
      <c r="E45" s="3108">
        <v>1</v>
      </c>
      <c r="F45" s="3105" t="s">
        <v>2488</v>
      </c>
      <c r="G45" s="3105"/>
    </row>
    <row r="46" spans="1:7" ht="19.5" customHeight="1">
      <c r="A46" s="3787"/>
      <c r="B46" s="3780"/>
      <c r="C46" s="3106" t="s">
        <v>2489</v>
      </c>
      <c r="D46" s="3107"/>
      <c r="E46" s="3108">
        <v>1</v>
      </c>
      <c r="F46" s="3105" t="s">
        <v>2490</v>
      </c>
      <c r="G46" s="3105"/>
    </row>
    <row r="47" spans="1:7" ht="19.5" customHeight="1">
      <c r="A47" s="3787"/>
      <c r="B47" s="3780"/>
      <c r="C47" s="3106" t="s">
        <v>2491</v>
      </c>
      <c r="D47" s="3107"/>
      <c r="E47" s="3108">
        <v>1</v>
      </c>
      <c r="F47" s="3105" t="s">
        <v>2492</v>
      </c>
      <c r="G47" s="3105"/>
    </row>
    <row r="48" spans="1:7" ht="19.5" customHeight="1">
      <c r="A48" s="3787"/>
      <c r="B48" s="3780"/>
      <c r="C48" s="3106" t="s">
        <v>2493</v>
      </c>
      <c r="D48" s="3107"/>
      <c r="E48" s="3108">
        <v>1</v>
      </c>
      <c r="F48" s="3105" t="s">
        <v>2494</v>
      </c>
      <c r="G48" s="3105"/>
    </row>
    <row r="49" spans="1:7" ht="19.5" customHeight="1">
      <c r="A49" s="3787"/>
      <c r="B49" s="3780"/>
      <c r="C49" s="3106" t="s">
        <v>2495</v>
      </c>
      <c r="D49" s="3107"/>
      <c r="E49" s="3108">
        <v>1</v>
      </c>
      <c r="F49" s="3105" t="s">
        <v>2496</v>
      </c>
      <c r="G49" s="3105"/>
    </row>
    <row r="50" spans="1:7" ht="19.5" customHeight="1">
      <c r="A50" s="3787"/>
      <c r="B50" s="3780"/>
      <c r="C50" s="3106" t="s">
        <v>2497</v>
      </c>
      <c r="D50" s="3107"/>
      <c r="E50" s="3108">
        <v>1</v>
      </c>
      <c r="F50" s="3105" t="s">
        <v>2498</v>
      </c>
      <c r="G50" s="3105"/>
    </row>
    <row r="51" spans="1:7" ht="19.5" customHeight="1" thickBot="1">
      <c r="A51" s="3788"/>
      <c r="B51" s="3782"/>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8" t="s">
        <v>2652</v>
      </c>
      <c r="C73" s="3091" t="s">
        <v>2653</v>
      </c>
      <c r="D73" s="3091" t="s">
        <v>2654</v>
      </c>
      <c r="E73" s="3117">
        <v>0.2</v>
      </c>
      <c r="F73" s="3117">
        <v>25</v>
      </c>
    </row>
    <row r="74" spans="1:7" ht="24">
      <c r="A74" s="3117">
        <v>2</v>
      </c>
      <c r="B74" s="3780"/>
      <c r="C74" s="3091" t="s">
        <v>2655</v>
      </c>
      <c r="D74" s="3091" t="s">
        <v>2656</v>
      </c>
      <c r="E74" s="3117">
        <v>0.2</v>
      </c>
      <c r="F74" s="3117">
        <v>25</v>
      </c>
    </row>
    <row r="75" spans="1:7" ht="24">
      <c r="A75" s="3117">
        <v>3</v>
      </c>
      <c r="B75" s="3780"/>
      <c r="C75" s="3091" t="s">
        <v>2657</v>
      </c>
      <c r="D75" s="3091" t="s">
        <v>2658</v>
      </c>
      <c r="E75" s="3117">
        <v>0.2</v>
      </c>
      <c r="F75" s="3117">
        <v>25</v>
      </c>
    </row>
    <row r="76" spans="1:7" ht="13.5">
      <c r="A76" s="3117">
        <v>4</v>
      </c>
      <c r="B76" s="3780"/>
      <c r="C76" s="3091" t="s">
        <v>2659</v>
      </c>
      <c r="D76" s="3091" t="s">
        <v>2660</v>
      </c>
      <c r="E76" s="3117">
        <v>0.15</v>
      </c>
      <c r="F76" s="3117">
        <v>20</v>
      </c>
    </row>
    <row r="77" spans="1:7" ht="24">
      <c r="A77" s="3117">
        <v>5</v>
      </c>
      <c r="B77" s="3780"/>
      <c r="C77" s="3091" t="s">
        <v>2661</v>
      </c>
      <c r="D77" s="3091" t="s">
        <v>2662</v>
      </c>
      <c r="E77" s="3117">
        <v>0.15</v>
      </c>
      <c r="F77" s="3117">
        <v>20</v>
      </c>
    </row>
    <row r="78" spans="1:7" ht="24">
      <c r="A78" s="3117">
        <v>6</v>
      </c>
      <c r="B78" s="3780"/>
      <c r="C78" s="3091" t="s">
        <v>2663</v>
      </c>
      <c r="D78" s="3091" t="s">
        <v>2664</v>
      </c>
      <c r="E78" s="3117">
        <v>0.15</v>
      </c>
      <c r="F78" s="3117">
        <v>20</v>
      </c>
    </row>
    <row r="79" spans="1:7" ht="24">
      <c r="A79" s="3117">
        <v>7</v>
      </c>
      <c r="B79" s="3780"/>
      <c r="C79" s="3091" t="s">
        <v>2665</v>
      </c>
      <c r="D79" s="3091" t="s">
        <v>2666</v>
      </c>
      <c r="E79" s="3117">
        <v>0.15</v>
      </c>
      <c r="F79" s="3117">
        <v>20</v>
      </c>
    </row>
    <row r="80" spans="1:7" ht="24">
      <c r="A80" s="3117">
        <v>8</v>
      </c>
      <c r="B80" s="3780"/>
      <c r="C80" s="3091" t="s">
        <v>2667</v>
      </c>
      <c r="D80" s="3091" t="s">
        <v>2668</v>
      </c>
      <c r="E80" s="3117">
        <v>0.1</v>
      </c>
      <c r="F80" s="3117">
        <v>15</v>
      </c>
    </row>
    <row r="81" spans="1:6" ht="24">
      <c r="A81" s="3117">
        <v>9</v>
      </c>
      <c r="B81" s="3780"/>
      <c r="C81" s="3091" t="s">
        <v>2669</v>
      </c>
      <c r="D81" s="3091" t="s">
        <v>2670</v>
      </c>
      <c r="E81" s="3117">
        <v>0.1</v>
      </c>
      <c r="F81" s="3117">
        <v>15</v>
      </c>
    </row>
    <row r="82" spans="1:6" ht="24">
      <c r="A82" s="3117">
        <v>10</v>
      </c>
      <c r="B82" s="3780"/>
      <c r="C82" s="3091" t="s">
        <v>2671</v>
      </c>
      <c r="D82" s="3091" t="s">
        <v>2672</v>
      </c>
      <c r="E82" s="3117">
        <v>0.1</v>
      </c>
      <c r="F82" s="3117">
        <v>15</v>
      </c>
    </row>
    <row r="83" spans="1:6" ht="24">
      <c r="A83" s="3117">
        <v>11</v>
      </c>
      <c r="B83" s="3780"/>
      <c r="C83" s="3091" t="s">
        <v>2673</v>
      </c>
      <c r="D83" s="3091" t="s">
        <v>2674</v>
      </c>
      <c r="E83" s="3117">
        <v>0.1</v>
      </c>
      <c r="F83" s="3117">
        <v>15</v>
      </c>
    </row>
    <row r="84" spans="1:6" ht="24">
      <c r="A84" s="3117">
        <v>12</v>
      </c>
      <c r="B84" s="3780"/>
      <c r="C84" s="3091" t="s">
        <v>2675</v>
      </c>
      <c r="D84" s="3091" t="s">
        <v>2676</v>
      </c>
      <c r="E84" s="3117">
        <v>0.1</v>
      </c>
      <c r="F84" s="3117">
        <v>15</v>
      </c>
    </row>
    <row r="85" spans="1:6" ht="13.5">
      <c r="A85" s="3117">
        <v>13</v>
      </c>
      <c r="B85" s="3780"/>
      <c r="C85" s="3091" t="s">
        <v>2677</v>
      </c>
      <c r="D85" s="3091" t="s">
        <v>2678</v>
      </c>
      <c r="E85" s="3117">
        <v>0.1</v>
      </c>
      <c r="F85" s="3117">
        <v>15</v>
      </c>
    </row>
    <row r="86" spans="1:6" ht="13.5">
      <c r="A86" s="3117">
        <v>14</v>
      </c>
      <c r="B86" s="3780"/>
      <c r="C86" s="3091" t="s">
        <v>2679</v>
      </c>
      <c r="D86" s="3091" t="s">
        <v>2680</v>
      </c>
      <c r="E86" s="3117">
        <v>0.1</v>
      </c>
      <c r="F86" s="3117">
        <v>15</v>
      </c>
    </row>
    <row r="87" spans="1:6" ht="13.5">
      <c r="A87" s="3117">
        <v>15</v>
      </c>
      <c r="B87" s="3780"/>
      <c r="C87" s="3091" t="s">
        <v>2681</v>
      </c>
      <c r="D87" s="3091" t="s">
        <v>2682</v>
      </c>
      <c r="E87" s="3117">
        <v>0.1</v>
      </c>
      <c r="F87" s="3117">
        <v>15</v>
      </c>
    </row>
    <row r="88" spans="1:6" ht="24">
      <c r="A88" s="3117">
        <v>16</v>
      </c>
      <c r="B88" s="3780"/>
      <c r="C88" s="3091" t="s">
        <v>2683</v>
      </c>
      <c r="D88" s="3091" t="s">
        <v>2684</v>
      </c>
      <c r="E88" s="3117">
        <v>0.1</v>
      </c>
      <c r="F88" s="3117">
        <v>15</v>
      </c>
    </row>
    <row r="89" spans="1:6" ht="24">
      <c r="A89" s="3117">
        <v>17</v>
      </c>
      <c r="B89" s="3779"/>
      <c r="C89" s="3091" t="s">
        <v>2685</v>
      </c>
      <c r="D89" s="3091" t="s">
        <v>2686</v>
      </c>
      <c r="E89" s="3117">
        <v>0.1</v>
      </c>
      <c r="F89" s="3117">
        <v>15</v>
      </c>
    </row>
    <row r="90" spans="1:6" ht="13.5">
      <c r="A90" s="3117">
        <v>18</v>
      </c>
      <c r="B90" s="3778" t="s">
        <v>2687</v>
      </c>
      <c r="C90" s="3091" t="s">
        <v>2688</v>
      </c>
      <c r="D90" s="3091" t="s">
        <v>2689</v>
      </c>
      <c r="E90" s="3117">
        <v>0.2</v>
      </c>
      <c r="F90" s="3117">
        <v>25</v>
      </c>
    </row>
    <row r="91" spans="1:6" ht="24">
      <c r="A91" s="3117">
        <v>19</v>
      </c>
      <c r="B91" s="3780"/>
      <c r="C91" s="3091" t="s">
        <v>2690</v>
      </c>
      <c r="D91" s="3091" t="s">
        <v>2691</v>
      </c>
      <c r="E91" s="3117">
        <v>0.2</v>
      </c>
      <c r="F91" s="3117">
        <v>25</v>
      </c>
    </row>
    <row r="92" spans="1:6" ht="13.5">
      <c r="A92" s="3117">
        <v>20</v>
      </c>
      <c r="B92" s="3780"/>
      <c r="C92" s="3091" t="s">
        <v>2692</v>
      </c>
      <c r="D92" s="3091" t="s">
        <v>2693</v>
      </c>
      <c r="E92" s="3117">
        <v>0.15</v>
      </c>
      <c r="F92" s="3117">
        <v>20</v>
      </c>
    </row>
    <row r="93" spans="1:6" ht="13.5">
      <c r="A93" s="3117">
        <v>21</v>
      </c>
      <c r="B93" s="3780"/>
      <c r="C93" s="3091" t="s">
        <v>2694</v>
      </c>
      <c r="D93" s="3091" t="s">
        <v>2695</v>
      </c>
      <c r="E93" s="3117">
        <v>0.15</v>
      </c>
      <c r="F93" s="3117">
        <v>20</v>
      </c>
    </row>
    <row r="94" spans="1:6" ht="13.5">
      <c r="A94" s="3117">
        <v>22</v>
      </c>
      <c r="B94" s="3780"/>
      <c r="C94" s="3091" t="s">
        <v>2696</v>
      </c>
      <c r="D94" s="3091" t="s">
        <v>2697</v>
      </c>
      <c r="E94" s="3117">
        <v>0.15</v>
      </c>
      <c r="F94" s="3117">
        <v>20</v>
      </c>
    </row>
    <row r="95" spans="1:6" ht="36">
      <c r="A95" s="3117">
        <v>23</v>
      </c>
      <c r="B95" s="3780"/>
      <c r="C95" s="3091" t="s">
        <v>2698</v>
      </c>
      <c r="D95" s="3091" t="s">
        <v>2699</v>
      </c>
      <c r="E95" s="3117">
        <v>0.15</v>
      </c>
      <c r="F95" s="3117">
        <v>20</v>
      </c>
    </row>
    <row r="96" spans="1:6" ht="13.5">
      <c r="A96" s="3117">
        <v>24</v>
      </c>
      <c r="B96" s="3780"/>
      <c r="C96" s="3091" t="s">
        <v>2700</v>
      </c>
      <c r="D96" s="3091" t="s">
        <v>2701</v>
      </c>
      <c r="E96" s="3117">
        <v>0.1</v>
      </c>
      <c r="F96" s="3117">
        <v>15</v>
      </c>
    </row>
    <row r="97" spans="1:6" ht="13.5">
      <c r="A97" s="3117">
        <v>25</v>
      </c>
      <c r="B97" s="3780"/>
      <c r="C97" s="3091" t="s">
        <v>2702</v>
      </c>
      <c r="D97" s="3091" t="s">
        <v>2703</v>
      </c>
      <c r="E97" s="3117">
        <v>0.1</v>
      </c>
      <c r="F97" s="3117">
        <v>15</v>
      </c>
    </row>
    <row r="98" spans="1:6" ht="24">
      <c r="A98" s="3117">
        <v>26</v>
      </c>
      <c r="B98" s="3780"/>
      <c r="C98" s="3091" t="s">
        <v>2704</v>
      </c>
      <c r="D98" s="3091" t="s">
        <v>2705</v>
      </c>
      <c r="E98" s="3117">
        <v>0.1</v>
      </c>
      <c r="F98" s="3117">
        <v>15</v>
      </c>
    </row>
    <row r="99" spans="1:6" ht="24">
      <c r="A99" s="3117">
        <v>27</v>
      </c>
      <c r="B99" s="3780"/>
      <c r="C99" s="3091" t="s">
        <v>2706</v>
      </c>
      <c r="D99" s="3091" t="s">
        <v>2707</v>
      </c>
      <c r="E99" s="3117">
        <v>0.1</v>
      </c>
      <c r="F99" s="3117">
        <v>15</v>
      </c>
    </row>
    <row r="100" spans="1:6" ht="13.5">
      <c r="A100" s="3117">
        <v>28</v>
      </c>
      <c r="B100" s="3780"/>
      <c r="C100" s="3091" t="s">
        <v>2708</v>
      </c>
      <c r="D100" s="3091" t="s">
        <v>2709</v>
      </c>
      <c r="E100" s="3117">
        <v>0.1</v>
      </c>
      <c r="F100" s="3117">
        <v>15</v>
      </c>
    </row>
    <row r="101" spans="1:6" ht="13.5">
      <c r="A101" s="3117">
        <v>29</v>
      </c>
      <c r="B101" s="3780"/>
      <c r="C101" s="3091" t="s">
        <v>2710</v>
      </c>
      <c r="D101" s="3091" t="s">
        <v>2711</v>
      </c>
      <c r="E101" s="3117">
        <v>0.1</v>
      </c>
      <c r="F101" s="3117">
        <v>15</v>
      </c>
    </row>
    <row r="102" spans="1:6" ht="13.5">
      <c r="A102" s="3117">
        <v>30</v>
      </c>
      <c r="B102" s="3780"/>
      <c r="C102" s="3091" t="s">
        <v>2712</v>
      </c>
      <c r="D102" s="3091" t="s">
        <v>2713</v>
      </c>
      <c r="E102" s="3117">
        <v>0.1</v>
      </c>
      <c r="F102" s="3117">
        <v>15</v>
      </c>
    </row>
    <row r="103" spans="1:6" ht="24">
      <c r="A103" s="3117">
        <v>31</v>
      </c>
      <c r="B103" s="3780"/>
      <c r="C103" s="3091" t="s">
        <v>2714</v>
      </c>
      <c r="D103" s="3091" t="s">
        <v>2715</v>
      </c>
      <c r="E103" s="3117">
        <v>0.1</v>
      </c>
      <c r="F103" s="3117">
        <v>15</v>
      </c>
    </row>
    <row r="104" spans="1:6" ht="24">
      <c r="A104" s="3117">
        <v>32</v>
      </c>
      <c r="B104" s="3780"/>
      <c r="C104" s="3091" t="s">
        <v>2716</v>
      </c>
      <c r="D104" s="3091" t="s">
        <v>2717</v>
      </c>
      <c r="E104" s="3117">
        <v>0.1</v>
      </c>
      <c r="F104" s="3117">
        <v>15</v>
      </c>
    </row>
    <row r="105" spans="1:6" ht="24">
      <c r="A105" s="3117">
        <v>33</v>
      </c>
      <c r="B105" s="3780"/>
      <c r="C105" s="3091" t="s">
        <v>2718</v>
      </c>
      <c r="D105" s="3091" t="s">
        <v>2719</v>
      </c>
      <c r="E105" s="3117">
        <v>0.1</v>
      </c>
      <c r="F105" s="3117">
        <v>15</v>
      </c>
    </row>
    <row r="106" spans="1:6" ht="24">
      <c r="A106" s="3117">
        <v>34</v>
      </c>
      <c r="B106" s="3779"/>
      <c r="C106" s="3091" t="s">
        <v>2720</v>
      </c>
      <c r="D106" s="3091" t="s">
        <v>2721</v>
      </c>
      <c r="E106" s="3117">
        <v>0.1</v>
      </c>
      <c r="F106" s="3117">
        <v>15</v>
      </c>
    </row>
    <row r="107" spans="1:6" ht="24">
      <c r="A107" s="3117">
        <v>35</v>
      </c>
      <c r="B107" s="3778" t="s">
        <v>2722</v>
      </c>
      <c r="C107" s="3117" t="s">
        <v>2723</v>
      </c>
      <c r="D107" s="3091" t="s">
        <v>2724</v>
      </c>
      <c r="E107" s="3117">
        <v>0.15</v>
      </c>
      <c r="F107" s="3117">
        <v>20</v>
      </c>
    </row>
    <row r="108" spans="1:6" ht="13.5">
      <c r="A108" s="3117">
        <v>36</v>
      </c>
      <c r="B108" s="3780"/>
      <c r="C108" s="3117" t="s">
        <v>2725</v>
      </c>
      <c r="D108" s="3091" t="s">
        <v>2726</v>
      </c>
      <c r="E108" s="3117">
        <v>0.15</v>
      </c>
      <c r="F108" s="3117">
        <v>20</v>
      </c>
    </row>
    <row r="109" spans="1:6" ht="13.5">
      <c r="A109" s="3117">
        <v>37</v>
      </c>
      <c r="B109" s="3780"/>
      <c r="C109" s="3117" t="s">
        <v>2727</v>
      </c>
      <c r="D109" s="3091" t="s">
        <v>2728</v>
      </c>
      <c r="E109" s="3117">
        <v>0.15</v>
      </c>
      <c r="F109" s="3117">
        <v>20</v>
      </c>
    </row>
    <row r="110" spans="1:6" ht="13.5">
      <c r="A110" s="3117">
        <v>38</v>
      </c>
      <c r="B110" s="3780"/>
      <c r="C110" s="3117" t="s">
        <v>2729</v>
      </c>
      <c r="D110" s="3091" t="s">
        <v>2730</v>
      </c>
      <c r="E110" s="3117">
        <v>0.1</v>
      </c>
      <c r="F110" s="3117">
        <v>15</v>
      </c>
    </row>
    <row r="111" spans="1:6" ht="24">
      <c r="A111" s="3117">
        <v>39</v>
      </c>
      <c r="B111" s="3780"/>
      <c r="C111" s="3117" t="s">
        <v>2731</v>
      </c>
      <c r="D111" s="3091" t="s">
        <v>2732</v>
      </c>
      <c r="E111" s="3117">
        <v>0.1</v>
      </c>
      <c r="F111" s="3117">
        <v>15</v>
      </c>
    </row>
    <row r="112" spans="1:6" ht="24">
      <c r="A112" s="3117">
        <v>40</v>
      </c>
      <c r="B112" s="3779"/>
      <c r="C112" s="3117" t="s">
        <v>2733</v>
      </c>
      <c r="D112" s="3091" t="s">
        <v>2734</v>
      </c>
      <c r="E112" s="3117">
        <v>0.1</v>
      </c>
      <c r="F112" s="3117">
        <v>15</v>
      </c>
    </row>
    <row r="113" spans="1:6" ht="13.5">
      <c r="A113" s="3117">
        <v>41</v>
      </c>
      <c r="B113" s="3777" t="s">
        <v>2735</v>
      </c>
      <c r="C113" s="3117" t="s">
        <v>2736</v>
      </c>
      <c r="D113" s="3091" t="s">
        <v>2737</v>
      </c>
      <c r="E113" s="3117">
        <v>0.1</v>
      </c>
      <c r="F113" s="3117">
        <v>15</v>
      </c>
    </row>
    <row r="114" spans="1:6" ht="13.5">
      <c r="A114" s="3117">
        <v>42</v>
      </c>
      <c r="B114" s="3777"/>
      <c r="C114" s="3117" t="s">
        <v>2738</v>
      </c>
      <c r="D114" s="3091" t="s">
        <v>2739</v>
      </c>
      <c r="E114" s="3117">
        <v>0.1</v>
      </c>
      <c r="F114" s="3117">
        <v>15</v>
      </c>
    </row>
    <row r="115" spans="1:6" ht="24">
      <c r="A115" s="3117">
        <v>43</v>
      </c>
      <c r="B115" s="3777"/>
      <c r="C115" s="3117" t="s">
        <v>2740</v>
      </c>
      <c r="D115" s="3091" t="s">
        <v>2741</v>
      </c>
      <c r="E115" s="3117">
        <v>0.1</v>
      </c>
      <c r="F115" s="3117">
        <v>15</v>
      </c>
    </row>
    <row r="116" spans="1:6" ht="13.5">
      <c r="A116" s="3117">
        <v>44</v>
      </c>
      <c r="B116" s="3778" t="s">
        <v>2742</v>
      </c>
      <c r="C116" s="3117" t="s">
        <v>2743</v>
      </c>
      <c r="D116" s="3091" t="s">
        <v>2744</v>
      </c>
      <c r="E116" s="3117">
        <v>0.1</v>
      </c>
      <c r="F116" s="3117">
        <v>15</v>
      </c>
    </row>
    <row r="117" spans="1:6" ht="24">
      <c r="A117" s="3117">
        <v>45</v>
      </c>
      <c r="B117" s="3779"/>
      <c r="C117" s="3091" t="s">
        <v>2745</v>
      </c>
      <c r="D117" s="3091" t="s">
        <v>2746</v>
      </c>
      <c r="E117" s="3117">
        <v>0.1</v>
      </c>
      <c r="F117" s="3117">
        <v>15</v>
      </c>
    </row>
    <row r="118" spans="1:6" ht="24">
      <c r="A118" s="3117">
        <v>46</v>
      </c>
      <c r="B118" s="3778" t="s">
        <v>2747</v>
      </c>
      <c r="C118" s="3117" t="s">
        <v>2748</v>
      </c>
      <c r="D118" s="3091" t="s">
        <v>2749</v>
      </c>
      <c r="E118" s="3117">
        <v>0.1</v>
      </c>
      <c r="F118" s="3117">
        <v>15</v>
      </c>
    </row>
    <row r="119" spans="1:6" ht="24">
      <c r="A119" s="3117">
        <v>47</v>
      </c>
      <c r="B119" s="3779"/>
      <c r="C119" s="3117" t="s">
        <v>2750</v>
      </c>
      <c r="D119" s="3091" t="s">
        <v>2751</v>
      </c>
      <c r="E119" s="3117">
        <v>0.1</v>
      </c>
      <c r="F119" s="3117">
        <v>15</v>
      </c>
    </row>
    <row r="120" spans="1:6" ht="13.5">
      <c r="A120" s="3117">
        <v>48</v>
      </c>
      <c r="B120" s="3778" t="s">
        <v>2752</v>
      </c>
      <c r="C120" s="3117" t="s">
        <v>2753</v>
      </c>
      <c r="D120" s="3091" t="s">
        <v>2754</v>
      </c>
      <c r="E120" s="3117">
        <v>0.1</v>
      </c>
      <c r="F120" s="3117">
        <v>15</v>
      </c>
    </row>
    <row r="121" spans="1:6" ht="13.5">
      <c r="A121" s="3117">
        <v>49</v>
      </c>
      <c r="B121" s="3779"/>
      <c r="C121" s="3117" t="s">
        <v>2755</v>
      </c>
      <c r="D121" s="3091" t="s">
        <v>2756</v>
      </c>
      <c r="E121" s="3117">
        <v>0.1</v>
      </c>
      <c r="F121" s="3117">
        <v>15</v>
      </c>
    </row>
    <row r="122" spans="1:6" ht="24">
      <c r="A122" s="3117">
        <v>50</v>
      </c>
      <c r="B122" s="3777" t="s">
        <v>2757</v>
      </c>
      <c r="C122" s="3117" t="s">
        <v>2758</v>
      </c>
      <c r="D122" s="3091" t="s">
        <v>2759</v>
      </c>
      <c r="E122" s="3117">
        <v>0.1</v>
      </c>
      <c r="F122" s="3117">
        <v>15</v>
      </c>
    </row>
    <row r="123" spans="1:6" ht="24">
      <c r="A123" s="3117">
        <v>51</v>
      </c>
      <c r="B123" s="3777"/>
      <c r="C123" s="3117" t="s">
        <v>2760</v>
      </c>
      <c r="D123" s="3091" t="s">
        <v>2761</v>
      </c>
      <c r="E123" s="3117">
        <v>0.1</v>
      </c>
      <c r="F123" s="3117">
        <v>15</v>
      </c>
    </row>
    <row r="124" spans="1:6" ht="24">
      <c r="A124" s="3117">
        <v>52</v>
      </c>
      <c r="B124" s="3777" t="s">
        <v>2762</v>
      </c>
      <c r="C124" s="3117" t="s">
        <v>2763</v>
      </c>
      <c r="D124" s="3091" t="s">
        <v>2764</v>
      </c>
      <c r="E124" s="3117">
        <v>0.1</v>
      </c>
      <c r="F124" s="3117">
        <v>15</v>
      </c>
    </row>
    <row r="125" spans="1:6" ht="24">
      <c r="A125" s="3117">
        <v>53</v>
      </c>
      <c r="B125" s="3777"/>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7" t="s">
        <v>2770</v>
      </c>
      <c r="C127" s="3117" t="s">
        <v>2771</v>
      </c>
      <c r="D127" s="3091" t="s">
        <v>2772</v>
      </c>
      <c r="E127" s="3117">
        <v>0.1</v>
      </c>
      <c r="F127" s="3117">
        <v>15</v>
      </c>
    </row>
    <row r="128" spans="1:6" ht="13.5">
      <c r="A128" s="3117">
        <v>56</v>
      </c>
      <c r="B128" s="3777"/>
      <c r="C128" s="3117" t="s">
        <v>2773</v>
      </c>
      <c r="D128" s="3091" t="s">
        <v>2774</v>
      </c>
      <c r="E128" s="3117">
        <v>0.1</v>
      </c>
      <c r="F128" s="3117">
        <v>15</v>
      </c>
    </row>
    <row r="129" spans="1:6" ht="24">
      <c r="A129" s="3117">
        <v>57</v>
      </c>
      <c r="B129" s="3777"/>
      <c r="C129" s="3117" t="s">
        <v>2775</v>
      </c>
      <c r="D129" s="3091" t="s">
        <v>2776</v>
      </c>
      <c r="E129" s="3117">
        <v>0.1</v>
      </c>
      <c r="F129" s="3117">
        <v>15</v>
      </c>
    </row>
    <row r="130" spans="1:6" ht="24">
      <c r="A130" s="3117">
        <v>58</v>
      </c>
      <c r="B130" s="3777" t="s">
        <v>2777</v>
      </c>
      <c r="C130" s="3117" t="s">
        <v>2778</v>
      </c>
      <c r="D130" s="3091" t="s">
        <v>2779</v>
      </c>
      <c r="E130" s="3117">
        <v>0.1</v>
      </c>
      <c r="F130" s="3117">
        <v>15</v>
      </c>
    </row>
    <row r="131" spans="1:6" ht="13.5">
      <c r="A131" s="3117">
        <v>59</v>
      </c>
      <c r="B131" s="3777"/>
      <c r="C131" s="3117" t="s">
        <v>2780</v>
      </c>
      <c r="D131" s="3091" t="s">
        <v>2781</v>
      </c>
      <c r="E131" s="3117">
        <v>0.1</v>
      </c>
      <c r="F131" s="3117">
        <v>15</v>
      </c>
    </row>
    <row r="132" spans="1:6" ht="13.5">
      <c r="A132" s="3117">
        <v>60</v>
      </c>
      <c r="B132" s="3778" t="s">
        <v>2782</v>
      </c>
      <c r="C132" s="3117" t="s">
        <v>2783</v>
      </c>
      <c r="D132" s="3091" t="s">
        <v>2784</v>
      </c>
      <c r="E132" s="3117">
        <v>0.1</v>
      </c>
      <c r="F132" s="3117">
        <v>15</v>
      </c>
    </row>
    <row r="133" spans="1:6" ht="13.5">
      <c r="A133" s="3117">
        <v>61</v>
      </c>
      <c r="B133" s="3779"/>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7" t="s">
        <v>2790</v>
      </c>
      <c r="C135" s="3117" t="s">
        <v>2791</v>
      </c>
      <c r="D135" s="3091" t="s">
        <v>2792</v>
      </c>
      <c r="E135" s="3117">
        <v>0.1</v>
      </c>
      <c r="F135" s="3117">
        <v>15</v>
      </c>
    </row>
    <row r="136" spans="1:6" ht="13.5">
      <c r="A136" s="3117">
        <v>64</v>
      </c>
      <c r="B136" s="3777"/>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0.94710000000000005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4267</v>
      </c>
      <c r="E5" s="1490"/>
    </row>
    <row r="6" spans="1:5" ht="15.75">
      <c r="A6" s="1490"/>
      <c r="B6" s="3469"/>
      <c r="C6" s="1493" t="s">
        <v>911</v>
      </c>
      <c r="D6" s="849" t="str">
        <f ca="1">NUMBERSTRING(INT(D5*10000),2)&amp;"元整"</f>
        <v>肆仟贰佰陆拾柒万元整</v>
      </c>
      <c r="E6" s="1490"/>
    </row>
    <row r="7" spans="1:5" ht="15.75">
      <c r="A7" s="1490"/>
      <c r="B7" s="3474"/>
      <c r="C7" s="1494" t="s">
        <v>912</v>
      </c>
      <c r="D7" s="850">
        <f ca="1">结果表!H102</f>
        <v>45867</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4267</v>
      </c>
      <c r="E13" s="1490"/>
    </row>
    <row r="14" spans="1:5" ht="15.75">
      <c r="A14" s="1490"/>
      <c r="B14" s="3469"/>
      <c r="C14" s="1493" t="s">
        <v>911</v>
      </c>
      <c r="D14" s="849" t="str">
        <f ca="1">NUMBERSTRING(INT(D13*10000),2)&amp;"元整"</f>
        <v>肆仟贰佰陆拾柒万元整</v>
      </c>
      <c r="E14" s="1490"/>
    </row>
    <row r="15" spans="1:5" ht="15">
      <c r="A15" s="1490"/>
      <c r="B15" s="3474"/>
      <c r="C15" s="1494" t="s">
        <v>921</v>
      </c>
      <c r="D15" s="858">
        <f ca="1">结果表!H108</f>
        <v>45867</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31272</v>
      </c>
      <c r="C2" s="2" t="s">
        <v>106</v>
      </c>
      <c r="D2" s="199"/>
      <c r="E2" s="199"/>
      <c r="F2" s="199"/>
      <c r="G2" s="199"/>
    </row>
    <row r="3" spans="1:7" s="200" customFormat="1" ht="18" customHeight="1" thickBot="1">
      <c r="A3" s="203" t="s">
        <v>58</v>
      </c>
      <c r="B3" s="204">
        <f ca="1">ROUND(B2*10000/'数据-汇总表'!E3,0)</f>
        <v>336132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930.34999999999991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930.34999999999991</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1426</v>
      </c>
      <c r="D22" s="235">
        <f ca="1">C26</f>
        <v>1E-3</v>
      </c>
      <c r="E22" s="236" t="s">
        <v>99</v>
      </c>
      <c r="F22" s="237">
        <f ca="1">'数据-取费表'!B40</f>
        <v>3.3500000000000002E-2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1404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5312</v>
      </c>
      <c r="D27" s="235">
        <f>C29</f>
        <v>7.4999999999999997E-3</v>
      </c>
      <c r="E27" s="236" t="s">
        <v>99</v>
      </c>
      <c r="F27" s="246">
        <f>'数据-取费表'!Q16</f>
        <v>0.25</v>
      </c>
      <c r="G27" s="247" t="s">
        <v>431</v>
      </c>
    </row>
    <row r="28" spans="1:7" s="214" customFormat="1" ht="13.5" customHeight="1">
      <c r="A28" s="779" t="s">
        <v>349</v>
      </c>
      <c r="B28" s="248" t="s">
        <v>424</v>
      </c>
      <c r="C28" s="249">
        <f>ROUND((C5+C19+C20)*F27*'数据-取费表'!B21/'数据-取费表'!B20,0)</f>
        <v>5312</v>
      </c>
      <c r="D28" s="235"/>
      <c r="E28" s="236"/>
      <c r="F28" s="246"/>
      <c r="G28" s="247"/>
    </row>
    <row r="29" spans="1:7" s="214" customFormat="1" ht="13.5" customHeight="1">
      <c r="A29" s="779" t="s">
        <v>347</v>
      </c>
      <c r="B29" s="248" t="s">
        <v>425</v>
      </c>
      <c r="C29" s="238">
        <f>ROUND(C21*F27*'数据-取费表'!B21/'数据-取费表'!B20,4)</f>
        <v>7.4999999999999997E-3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372</v>
      </c>
      <c r="D34" s="217"/>
      <c r="E34" s="220"/>
      <c r="F34" s="257">
        <f>IF('数据-取费表'!B24=0,1,'数据-取费表'!N16)</f>
        <v>1</v>
      </c>
      <c r="G34" s="219" t="s">
        <v>89</v>
      </c>
    </row>
    <row r="35" spans="1:7" ht="13.5" customHeight="1">
      <c r="A35" s="779" t="s">
        <v>351</v>
      </c>
      <c r="B35" s="215" t="s">
        <v>33</v>
      </c>
      <c r="C35" s="220">
        <f>ROUND(C34*F35,0)</f>
        <v>19</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930.34999999999991</v>
      </c>
      <c r="E37" s="249">
        <f>'数据-取费表'!B35</f>
        <v>200</v>
      </c>
      <c r="F37" s="259"/>
      <c r="G37" s="261" t="s">
        <v>92</v>
      </c>
    </row>
    <row r="38" spans="1:7" ht="13.5" customHeight="1">
      <c r="A38" s="779" t="s">
        <v>354</v>
      </c>
      <c r="B38" s="215" t="s">
        <v>36</v>
      </c>
      <c r="C38" s="220">
        <f>ROUND(C34*F38,0)</f>
        <v>7</v>
      </c>
      <c r="D38" s="220"/>
      <c r="E38" s="220"/>
      <c r="F38" s="259">
        <f>'数据-取费表'!B36</f>
        <v>0.02</v>
      </c>
      <c r="G38" s="219" t="s">
        <v>90</v>
      </c>
    </row>
    <row r="39" spans="1:7" s="214" customFormat="1" ht="13.5" customHeight="1">
      <c r="A39" s="776" t="s">
        <v>338</v>
      </c>
      <c r="B39" s="210" t="s">
        <v>77</v>
      </c>
      <c r="C39" s="232">
        <f>ROUND(C33*F20,0)</f>
        <v>13</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14</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14</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1E-3</v>
      </c>
      <c r="D44" s="238"/>
      <c r="E44" s="238"/>
      <c r="F44" s="239"/>
      <c r="G44" s="3652"/>
    </row>
    <row r="45" spans="1:7" s="214" customFormat="1" ht="13.5" customHeight="1">
      <c r="A45" s="776" t="s">
        <v>341</v>
      </c>
      <c r="B45" s="244" t="s">
        <v>85</v>
      </c>
      <c r="C45" s="245">
        <f>C46</f>
        <v>108</v>
      </c>
      <c r="D45" s="235">
        <f>C47</f>
        <v>7.4999999999999997E-3</v>
      </c>
      <c r="E45" s="236" t="s">
        <v>102</v>
      </c>
      <c r="F45" s="246"/>
      <c r="G45" s="247" t="s">
        <v>434</v>
      </c>
    </row>
    <row r="46" spans="1:7" s="214" customFormat="1" ht="13.5" customHeight="1">
      <c r="A46" s="779" t="s">
        <v>349</v>
      </c>
      <c r="B46" s="248" t="s">
        <v>427</v>
      </c>
      <c r="C46" s="249">
        <f>ROUND((C33+C39)*F27,0)</f>
        <v>108</v>
      </c>
      <c r="D46" s="263"/>
      <c r="E46" s="236"/>
      <c r="F46" s="246"/>
      <c r="G46" s="247"/>
    </row>
    <row r="47" spans="1:7" s="214" customFormat="1" ht="13.5" customHeight="1">
      <c r="A47" s="779" t="s">
        <v>347</v>
      </c>
      <c r="B47" s="248" t="s">
        <v>429</v>
      </c>
      <c r="C47" s="238">
        <f>ROUND(C40*F27,4)</f>
        <v>7.4999999999999997E-3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608</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456</v>
      </c>
      <c r="D51" s="232"/>
      <c r="E51" s="232"/>
      <c r="F51" s="264"/>
      <c r="G51" s="234" t="s">
        <v>37</v>
      </c>
    </row>
    <row r="52" spans="1:7" s="208" customFormat="1" ht="16.5" thickBot="1">
      <c r="A52" s="265" t="s">
        <v>38</v>
      </c>
      <c r="B52" s="266"/>
      <c r="C52" s="267">
        <f ca="1">C31+C51</f>
        <v>31272</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2840</v>
      </c>
      <c r="B1" s="3791"/>
      <c r="C1" s="3791"/>
      <c r="D1" s="3791"/>
      <c r="E1" s="3791"/>
      <c r="F1" s="3791"/>
      <c r="G1" s="3792"/>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9"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90"/>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3182</v>
      </c>
      <c r="B1" s="3793"/>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4" t="s">
        <v>3233</v>
      </c>
      <c r="B1" s="3794"/>
      <c r="C1" s="3794"/>
      <c r="D1" s="3794"/>
      <c r="E1" s="3794"/>
      <c r="F1" s="3795"/>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45554</v>
      </c>
      <c r="B1" s="3209" t="s">
        <v>3371</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3378</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3380</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3375</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3374</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3370</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3369</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3368</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3364</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3355</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6" t="s">
        <v>3366</v>
      </c>
    </row>
    <row r="22" spans="1:30" s="3008" customFormat="1">
      <c r="I22" s="3207" t="s">
        <v>2826</v>
      </c>
    </row>
    <row r="23" spans="1:30" s="3008" customFormat="1"/>
    <row r="24" spans="1:30" s="3208" customFormat="1" ht="12.75">
      <c r="B24" s="3209" t="s">
        <v>3372</v>
      </c>
      <c r="C24" s="3210"/>
      <c r="D24" s="3210"/>
      <c r="E24" s="3210"/>
      <c r="F24" s="3210"/>
      <c r="G24" s="3210"/>
      <c r="H24" s="3210"/>
      <c r="I24" s="3210"/>
      <c r="J24" s="3164"/>
      <c r="K24" s="3210" t="s">
        <v>2827</v>
      </c>
      <c r="L24" s="3210"/>
      <c r="M24" s="3210"/>
      <c r="N24" s="3210"/>
      <c r="O24" s="3210"/>
      <c r="P24" s="3210"/>
      <c r="Q24" s="3164"/>
      <c r="R24" s="3796" t="s">
        <v>2828</v>
      </c>
      <c r="S24" s="3797"/>
      <c r="T24" s="3797"/>
      <c r="U24" s="3797"/>
      <c r="V24" s="3797"/>
      <c r="W24" s="3797"/>
      <c r="X24" s="3164"/>
      <c r="Y24" s="3796" t="s">
        <v>2829</v>
      </c>
      <c r="Z24" s="3797"/>
      <c r="AA24" s="3797"/>
      <c r="AB24" s="3797"/>
      <c r="AC24" s="3797"/>
      <c r="AD24" s="3797"/>
    </row>
    <row r="25" spans="1:30" s="3142" customFormat="1" ht="14.2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2.75">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3377</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3378</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3379</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3376</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3374</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3373</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3369</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3368</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3365</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3355</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6"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A16" sqref="A16:XFD1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45554</v>
      </c>
      <c r="D1" s="1301" t="s">
        <v>603</v>
      </c>
      <c r="E1" s="1296">
        <f>'数据-取费表'!B22</f>
        <v>2</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45495</v>
      </c>
      <c r="D13" s="2821">
        <v>3.35</v>
      </c>
      <c r="E13" s="2821">
        <f>D13</f>
        <v>3.35</v>
      </c>
      <c r="F13" s="2821">
        <f>D13</f>
        <v>3.35</v>
      </c>
      <c r="G13" s="2821">
        <f>D13</f>
        <v>3.35</v>
      </c>
      <c r="H13" s="2821">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45342</v>
      </c>
      <c r="D14" s="2816">
        <v>3.45</v>
      </c>
      <c r="E14" s="2816">
        <f>D14</f>
        <v>3.45</v>
      </c>
      <c r="F14" s="2816">
        <f>D14</f>
        <v>3.45</v>
      </c>
      <c r="G14" s="2816">
        <f>D14</f>
        <v>3.45</v>
      </c>
      <c r="H14" s="2816">
        <v>3.95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45159</v>
      </c>
      <c r="D15" s="2816">
        <v>3.45</v>
      </c>
      <c r="E15" s="2816">
        <f>D15</f>
        <v>3.45</v>
      </c>
      <c r="F15" s="2816">
        <f>D15</f>
        <v>3.45</v>
      </c>
      <c r="G15" s="2816">
        <f>D15</f>
        <v>3.45</v>
      </c>
      <c r="H15" s="2816">
        <v>4.2</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45097</v>
      </c>
      <c r="D16" s="2816">
        <v>3.55</v>
      </c>
      <c r="E16" s="2816">
        <f>D16</f>
        <v>3.55</v>
      </c>
      <c r="F16" s="2816">
        <f>D16</f>
        <v>3.55</v>
      </c>
      <c r="G16" s="2816">
        <f>D16</f>
        <v>3.55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44795</v>
      </c>
      <c r="D17" s="2816">
        <v>3.65</v>
      </c>
      <c r="E17" s="2816">
        <v>3.65</v>
      </c>
      <c r="F17" s="2816">
        <v>3.65</v>
      </c>
      <c r="G17" s="2816">
        <v>3.65</v>
      </c>
      <c r="H17" s="2816">
        <v>4.3</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44581</v>
      </c>
      <c r="D19" s="2816">
        <v>3.7</v>
      </c>
      <c r="E19" s="2816">
        <f>D19</f>
        <v>3.7</v>
      </c>
      <c r="F19" s="2816">
        <f>D19</f>
        <v>3.7</v>
      </c>
      <c r="G19" s="2816">
        <f>D19</f>
        <v>3.7</v>
      </c>
      <c r="H19" s="2816">
        <v>4.5999999999999996</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44550</v>
      </c>
      <c r="D20" s="2816">
        <v>3.8</v>
      </c>
      <c r="E20" s="2816">
        <f>D20</f>
        <v>3.8</v>
      </c>
      <c r="F20" s="2816">
        <f>D20</f>
        <v>3.8</v>
      </c>
      <c r="G20" s="2816">
        <f>D20</f>
        <v>3.8</v>
      </c>
      <c r="H20" s="2816">
        <v>4.6500000000000004</v>
      </c>
      <c r="I20" s="2816"/>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43941</v>
      </c>
      <c r="D21" s="2816">
        <v>3.85</v>
      </c>
      <c r="E21" s="2816">
        <v>3.85</v>
      </c>
      <c r="F21" s="2816">
        <v>3.85</v>
      </c>
      <c r="G21" s="2816">
        <v>3.85</v>
      </c>
      <c r="H21" s="2816">
        <v>4.6500000000000004</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43881</v>
      </c>
      <c r="D22" s="2816">
        <v>4.05</v>
      </c>
      <c r="E22" s="2816">
        <v>4.05</v>
      </c>
      <c r="F22" s="2816">
        <v>4.05</v>
      </c>
      <c r="G22" s="2816">
        <v>4.05</v>
      </c>
      <c r="H22" s="2816">
        <v>4.75</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43728</v>
      </c>
      <c r="D24" s="2816">
        <v>4.2</v>
      </c>
      <c r="E24" s="2816">
        <v>4.2</v>
      </c>
      <c r="F24" s="2816">
        <v>4.2</v>
      </c>
      <c r="G24" s="2816">
        <v>4.2</v>
      </c>
      <c r="H24" s="2816">
        <v>4.8499999999999996</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4.25">
      <c r="B25" s="2815" t="s">
        <v>2310</v>
      </c>
      <c r="C25" s="2818">
        <v>43697</v>
      </c>
      <c r="D25" s="2819">
        <v>4.25</v>
      </c>
      <c r="E25" s="2819">
        <v>4.25</v>
      </c>
      <c r="F25" s="2819">
        <v>4.25</v>
      </c>
      <c r="G25" s="2819">
        <v>4.25</v>
      </c>
      <c r="H25" s="2819">
        <v>4.8499999999999996</v>
      </c>
      <c r="I25" s="2819"/>
      <c r="J25" s="2819"/>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23"/>
      <c r="C26" s="2824">
        <v>42301</v>
      </c>
      <c r="D26" s="2825">
        <v>4.3499999999999996</v>
      </c>
      <c r="E26" s="2825">
        <v>4.3499999999999996</v>
      </c>
      <c r="F26" s="2825">
        <v>4.75</v>
      </c>
      <c r="G26" s="2825">
        <v>4.75</v>
      </c>
      <c r="H26" s="2825">
        <v>4.9000000000000004</v>
      </c>
      <c r="I26" s="2825"/>
      <c r="J26" s="282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P204"/>
  <sheetViews>
    <sheetView workbookViewId="0">
      <selection activeCell="N79" sqref="N79"/>
    </sheetView>
  </sheetViews>
  <sheetFormatPr defaultRowHeight="13.5"/>
  <sheetData>
    <row r="3" spans="12:12">
      <c r="L3" s="3463" t="s">
        <v>3480</v>
      </c>
    </row>
    <row r="47" spans="12:12">
      <c r="L47" s="3463" t="s">
        <v>3483</v>
      </c>
    </row>
    <row r="48" spans="12:12">
      <c r="L48" s="3463" t="s">
        <v>3482</v>
      </c>
    </row>
    <row r="67" spans="12:16">
      <c r="L67" s="3463" t="s">
        <v>3505</v>
      </c>
    </row>
    <row r="68" spans="12:16">
      <c r="L68" s="3463" t="s">
        <v>3484</v>
      </c>
    </row>
    <row r="69" spans="12:16">
      <c r="L69" s="3463" t="s">
        <v>3485</v>
      </c>
    </row>
    <row r="71" spans="12:16">
      <c r="L71" s="3463" t="s">
        <v>3498</v>
      </c>
      <c r="M71" s="3463" t="s">
        <v>3499</v>
      </c>
      <c r="N71" s="3463" t="s">
        <v>3502</v>
      </c>
      <c r="O71" s="3463" t="s">
        <v>3500</v>
      </c>
      <c r="P71" s="3463" t="s">
        <v>3503</v>
      </c>
    </row>
    <row r="72" spans="12:16">
      <c r="L72">
        <v>123.94</v>
      </c>
      <c r="M72">
        <v>99968</v>
      </c>
      <c r="N72">
        <v>350000</v>
      </c>
      <c r="O72" s="3463" t="s">
        <v>3501</v>
      </c>
      <c r="P72">
        <f>N72/L72/365</f>
        <v>7.7368412908588118</v>
      </c>
    </row>
    <row r="73" spans="12:16">
      <c r="L73">
        <v>100.55</v>
      </c>
      <c r="M73">
        <v>115465</v>
      </c>
      <c r="O73" s="3463" t="s">
        <v>3501</v>
      </c>
      <c r="P73">
        <v>11.5</v>
      </c>
    </row>
    <row r="74" spans="12:16">
      <c r="L74">
        <v>388.63</v>
      </c>
      <c r="M74">
        <v>68240</v>
      </c>
      <c r="O74" s="3463" t="s">
        <v>3504</v>
      </c>
      <c r="P74">
        <v>5.2</v>
      </c>
    </row>
    <row r="75" spans="12:16">
      <c r="L75">
        <v>118.58</v>
      </c>
      <c r="M75">
        <v>115534</v>
      </c>
      <c r="O75" s="3463" t="s">
        <v>3501</v>
      </c>
      <c r="P75">
        <v>14</v>
      </c>
    </row>
    <row r="135" spans="13:13">
      <c r="M135" s="3463" t="s">
        <v>3509</v>
      </c>
    </row>
    <row r="204" spans="12:12">
      <c r="L204" s="3463" t="s">
        <v>3510</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61" sqref="A61"/>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A68" sqref="A68"/>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30">
      <c r="A4" s="1504" t="str">
        <f>项目基本情况!S2</f>
        <v>北京市西城区冰窖口胡同1号院4号楼商业用房房地产</v>
      </c>
      <c r="B4" s="853">
        <f>项目基本情况!C17</f>
        <v>930.34999999999991</v>
      </c>
      <c r="C4" s="853">
        <f>项目基本情况!C18</f>
        <v>0</v>
      </c>
      <c r="D4" s="853">
        <f ca="1">结果表!D118</f>
        <v>3845</v>
      </c>
      <c r="E4" s="853">
        <f ca="1">结果表!E118</f>
        <v>41326</v>
      </c>
      <c r="F4" s="853">
        <f ca="1">结果表!F118</f>
        <v>422</v>
      </c>
      <c r="G4" s="853">
        <f ca="1">结果表!G118</f>
        <v>4541</v>
      </c>
      <c r="H4" s="853">
        <f ca="1">结果表!H118</f>
        <v>4267</v>
      </c>
      <c r="I4" s="853">
        <f ca="1">结果表!I118</f>
        <v>45867</v>
      </c>
    </row>
    <row r="5" spans="1:9" ht="30" customHeight="1">
      <c r="A5" s="3481" t="s">
        <v>927</v>
      </c>
      <c r="B5" s="3481"/>
      <c r="C5" s="3481"/>
      <c r="D5" s="3481" t="str">
        <f ca="1">结果表!D119</f>
        <v>叁仟捌佰肆拾伍万元整</v>
      </c>
      <c r="E5" s="3481"/>
      <c r="F5" s="3481" t="str">
        <f ca="1">结果表!F119</f>
        <v>肆佰贰拾贰万元整</v>
      </c>
      <c r="G5" s="3481"/>
      <c r="H5" s="3481" t="str">
        <f ca="1">结果表!H119</f>
        <v>肆仟贰佰陆拾柒万元整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4267</v>
      </c>
      <c r="E8" s="3480"/>
      <c r="F8" s="3480"/>
      <c r="G8" s="3480"/>
      <c r="H8" s="3480"/>
      <c r="I8" s="3480"/>
    </row>
    <row r="9" spans="1:9" ht="15">
      <c r="A9" s="3481" t="s">
        <v>927</v>
      </c>
      <c r="B9" s="3481"/>
      <c r="C9" s="3481"/>
      <c r="D9" s="3481" t="str">
        <f ca="1">结果表!D123</f>
        <v>肆仟贰佰陆拾柒万元整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A81" sqref="A8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45554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比较法-租金商业</vt:lpstr>
      <vt:lpstr>比较法-办公</vt:lpstr>
      <vt:lpstr>比较法-工业</vt:lpstr>
      <vt:lpstr>比较法-车位</vt:lpstr>
      <vt:lpstr>比较法-仓储</vt:lpstr>
      <vt:lpstr>土地比较法-住宅、综合</vt:lpstr>
      <vt:lpstr>土地比较法-工业</vt:lpstr>
      <vt:lpstr>比较法-商业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商业</vt:lpstr>
      <vt:lpstr>住宅</vt:lpstr>
      <vt:lpstr>Sheet1</vt:lpstr>
      <vt:lpstr>办公</vt:lpstr>
      <vt:lpstr>'比较法-办公'!Print_Area</vt:lpstr>
      <vt:lpstr>'比较法-仓储'!Print_Area</vt:lpstr>
      <vt:lpstr>'比较法-车位'!Print_Area</vt:lpstr>
      <vt:lpstr>'比较法-工业'!Print_Area</vt:lpstr>
      <vt:lpstr>'比较法-商业'!Print_Area</vt:lpstr>
      <vt:lpstr>'比较法-住宅'!Print_Area</vt:lpstr>
      <vt:lpstr>'比较法-租金商业'!Print_Area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2024-09-19T06:25:36Z</dcterms:modified>
</cp:coreProperties>
</file>