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收益法车库" sheetId="80" r:id="rId27"/>
    <sheet name="成本法车库" sheetId="79" r:id="rId28"/>
    <sheet name="成本法 (元)" sheetId="69" state="hidden" r:id="rId29"/>
    <sheet name="假设开发法" sheetId="12" state="hidden"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 name="Sheet1" sheetId="84" r:id="rId52"/>
  </sheet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19">收益法办公!$A$1:$AK$69</definedName>
    <definedName name="_xlnm.Print_Area" localSheetId="24">收益法仓储!$A$1:$AK$69</definedName>
    <definedName name="_xlnm.Print_Area" localSheetId="26">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4" l="1"/>
  <c r="G8" i="84" l="1"/>
  <c r="G7" i="84"/>
  <c r="G14" i="84" s="1"/>
  <c r="G3" i="84"/>
  <c r="D14" i="81" l="1"/>
  <c r="D14" i="9"/>
  <c r="D14" i="82"/>
  <c r="Q72" i="83"/>
  <c r="Q59" i="83"/>
  <c r="K59" i="83"/>
  <c r="P74" i="83" s="1"/>
  <c r="F59" i="83"/>
  <c r="Q58" i="83"/>
  <c r="Q51" i="83"/>
  <c r="J50" i="83"/>
  <c r="M47" i="83"/>
  <c r="D46" i="83"/>
  <c r="F33" i="83"/>
  <c r="F61" i="83" s="1"/>
  <c r="F31" i="83"/>
  <c r="F23" i="83"/>
  <c r="D24" i="83" s="1"/>
  <c r="D22" i="83"/>
  <c r="F21" i="83"/>
  <c r="F20" i="83"/>
  <c r="M19" i="83"/>
  <c r="F18" i="83"/>
  <c r="M17" i="83"/>
  <c r="F17" i="83"/>
  <c r="F15" i="83"/>
  <c r="A126" i="82"/>
  <c r="A124" i="82"/>
  <c r="A122" i="82"/>
  <c r="A120" i="82"/>
  <c r="E111" i="82"/>
  <c r="H112" i="82" s="1"/>
  <c r="E109" i="82"/>
  <c r="E107" i="82"/>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A126" i="81"/>
  <c r="A124" i="81"/>
  <c r="A122" i="81"/>
  <c r="A120" i="81"/>
  <c r="E111" i="81"/>
  <c r="H112" i="81" s="1"/>
  <c r="E109" i="81"/>
  <c r="E107" i="8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Q72" i="80"/>
  <c r="Q59" i="80"/>
  <c r="K59" i="80"/>
  <c r="P61" i="80" s="1"/>
  <c r="F59" i="80"/>
  <c r="Q58" i="80"/>
  <c r="Q51" i="80"/>
  <c r="J50" i="80"/>
  <c r="M47" i="80"/>
  <c r="D46" i="80"/>
  <c r="F33" i="80"/>
  <c r="F61" i="80" s="1"/>
  <c r="F31" i="80"/>
  <c r="F23" i="80"/>
  <c r="D24" i="80" s="1"/>
  <c r="D23" i="80"/>
  <c r="D22" i="80"/>
  <c r="F21" i="80"/>
  <c r="F20" i="80"/>
  <c r="M19" i="80"/>
  <c r="F18" i="80"/>
  <c r="M17" i="80"/>
  <c r="F17" i="80"/>
  <c r="F15" i="80"/>
  <c r="F38" i="79"/>
  <c r="E37" i="79"/>
  <c r="F36" i="79"/>
  <c r="F35" i="79"/>
  <c r="F21" i="79"/>
  <c r="C40" i="79" s="1"/>
  <c r="F20" i="79"/>
  <c r="E10" i="79"/>
  <c r="E9" i="79"/>
  <c r="F7" i="79"/>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E109" i="77"/>
  <c r="F109" i="77" s="1"/>
  <c r="G109" i="77" s="1"/>
  <c r="H109" i="77" s="1"/>
  <c r="I109" i="77" s="1"/>
  <c r="J109" i="77" s="1"/>
  <c r="K109" i="77" s="1"/>
  <c r="L109" i="77" s="1"/>
  <c r="M109" i="77" s="1"/>
  <c r="D109" i="77"/>
  <c r="E107" i="77"/>
  <c r="F107" i="77" s="1"/>
  <c r="G107" i="77" s="1"/>
  <c r="H107" i="77" s="1"/>
  <c r="I107" i="77" s="1"/>
  <c r="J107" i="77" s="1"/>
  <c r="K107" i="77" s="1"/>
  <c r="L107" i="77" s="1"/>
  <c r="M107" i="77" s="1"/>
  <c r="D107" i="77"/>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B89" i="77"/>
  <c r="F88" i="77"/>
  <c r="G88" i="77" s="1"/>
  <c r="H88" i="77" s="1"/>
  <c r="I88" i="77" s="1"/>
  <c r="J88" i="77" s="1"/>
  <c r="K88" i="77" s="1"/>
  <c r="L88" i="77" s="1"/>
  <c r="M88" i="77" s="1"/>
  <c r="D88" i="77"/>
  <c r="E88" i="77" s="1"/>
  <c r="F86" i="77"/>
  <c r="G86" i="77" s="1"/>
  <c r="D86" i="77"/>
  <c r="E86" i="77" s="1"/>
  <c r="F84" i="77"/>
  <c r="G84" i="77" s="1"/>
  <c r="D84" i="77"/>
  <c r="E84" i="77" s="1"/>
  <c r="F82" i="77"/>
  <c r="G82" i="77" s="1"/>
  <c r="D82" i="77"/>
  <c r="E82" i="77" s="1"/>
  <c r="F80" i="77"/>
  <c r="G80" i="77" s="1"/>
  <c r="D80" i="77"/>
  <c r="E80" i="77" s="1"/>
  <c r="F78" i="77"/>
  <c r="G78" i="77" s="1"/>
  <c r="D78" i="77"/>
  <c r="E78" i="77" s="1"/>
  <c r="B75" i="77"/>
  <c r="B73" i="77"/>
  <c r="B71" i="77"/>
  <c r="D70" i="77"/>
  <c r="E70" i="77" s="1"/>
  <c r="M68" i="77"/>
  <c r="L68" i="77"/>
  <c r="K68" i="77"/>
  <c r="J68" i="77"/>
  <c r="I68" i="77"/>
  <c r="H68" i="77"/>
  <c r="G68" i="77"/>
  <c r="F68" i="77"/>
  <c r="E68" i="77"/>
  <c r="D68" i="77"/>
  <c r="C68" i="77"/>
  <c r="F67" i="77"/>
  <c r="G67" i="77" s="1"/>
  <c r="H67" i="77" s="1"/>
  <c r="I67" i="77" s="1"/>
  <c r="C64" i="77"/>
  <c r="I55" i="77"/>
  <c r="J55" i="77" s="1"/>
  <c r="G55" i="77"/>
  <c r="H55" i="77" s="1"/>
  <c r="E55" i="77"/>
  <c r="F55" i="77" s="1"/>
  <c r="P50" i="77"/>
  <c r="P49" i="77"/>
  <c r="V48" i="77"/>
  <c r="T48" i="77"/>
  <c r="R48" i="77"/>
  <c r="P48" i="77"/>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Q27" i="77"/>
  <c r="Z27" i="77" s="1"/>
  <c r="J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J8" i="77"/>
  <c r="AC8" i="77" s="1"/>
  <c r="H8" i="77"/>
  <c r="AB8" i="77" s="1"/>
  <c r="F8" i="77"/>
  <c r="AA8" i="77" s="1"/>
  <c r="D3" i="77"/>
  <c r="D35" i="81"/>
  <c r="D2" i="77"/>
  <c r="D34" i="82"/>
  <c r="D35" i="82"/>
  <c r="E2" i="79"/>
  <c r="D34" i="81"/>
  <c r="U8" i="77" l="1"/>
  <c r="C21" i="79"/>
  <c r="P74" i="80"/>
  <c r="H103" i="81"/>
  <c r="D120" i="81" s="1"/>
  <c r="D23" i="83"/>
  <c r="F70" i="77"/>
  <c r="J11" i="77"/>
  <c r="AC11" i="77" s="1"/>
  <c r="F90" i="77"/>
  <c r="G90" i="77" s="1"/>
  <c r="H90" i="77" s="1"/>
  <c r="I90" i="77" s="1"/>
  <c r="J90" i="77" s="1"/>
  <c r="K90" i="77" s="1"/>
  <c r="L90" i="77" s="1"/>
  <c r="M90" i="77" s="1"/>
  <c r="H27" i="77"/>
  <c r="AB27" i="77" s="1"/>
  <c r="H111" i="81"/>
  <c r="D126" i="81" s="1"/>
  <c r="D127" i="81" s="1"/>
  <c r="H111" i="82"/>
  <c r="D126" i="82" s="1"/>
  <c r="D127" i="82" s="1"/>
  <c r="C18" i="81"/>
  <c r="D18" i="81" s="1"/>
  <c r="C18" i="82"/>
  <c r="D18" i="82" s="1"/>
  <c r="P61" i="83"/>
  <c r="K120" i="82"/>
  <c r="D121" i="82"/>
  <c r="C92" i="82"/>
  <c r="C94" i="82"/>
  <c r="K120" i="81"/>
  <c r="D121" i="81"/>
  <c r="C92" i="81"/>
  <c r="C94" i="81"/>
  <c r="U9" i="77"/>
  <c r="U13" i="77"/>
  <c r="S8" i="77"/>
  <c r="W8" i="77"/>
  <c r="S9" i="77"/>
  <c r="W9" i="77"/>
  <c r="U10" i="77"/>
  <c r="W11" i="77"/>
  <c r="U12" i="77"/>
  <c r="S13" i="77"/>
  <c r="W13" i="77"/>
  <c r="U14" i="77"/>
  <c r="U15" i="77"/>
  <c r="U17" i="77"/>
  <c r="U19" i="77"/>
  <c r="U21" i="77"/>
  <c r="U23" i="77"/>
  <c r="S25" i="77"/>
  <c r="W25"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U27" i="77" l="1"/>
  <c r="G70" i="77"/>
  <c r="H70" i="77" s="1"/>
  <c r="I70" i="77" s="1"/>
  <c r="J70" i="77" s="1"/>
  <c r="F11" i="77"/>
  <c r="AA11" i="77" l="1"/>
  <c r="S11" i="77"/>
  <c r="K70" i="77"/>
  <c r="L70" i="77" s="1"/>
  <c r="M70" i="77" s="1"/>
  <c r="H11" i="77"/>
  <c r="AB11" i="77" l="1"/>
  <c r="U11" i="77"/>
  <c r="B7" i="4" l="1"/>
  <c r="D3" i="4"/>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s="1"/>
  <c r="P7" i="71"/>
  <c r="E6" i="71"/>
  <c r="E5" i="71" s="1"/>
  <c r="O7" i="71"/>
  <c r="N7" i="71"/>
  <c r="B6" i="71"/>
  <c r="S6" i="71" s="1"/>
  <c r="V6" i="71"/>
  <c r="D6" i="71"/>
  <c r="U6" i="71" s="1"/>
  <c r="C5" i="71"/>
  <c r="D5" i="71" s="1"/>
  <c r="A2" i="53"/>
  <c r="K59" i="67"/>
  <c r="P61" i="67"/>
  <c r="K59" i="15"/>
  <c r="P74" i="15" s="1"/>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8" i="71"/>
  <c r="P8" i="71"/>
  <c r="O8" i="71"/>
  <c r="N8" i="71"/>
  <c r="D5" i="43"/>
  <c r="A15" i="51"/>
  <c r="B12" i="72" s="1"/>
  <c r="C76" i="9"/>
  <c r="I107" i="40"/>
  <c r="K6" i="4"/>
  <c r="B22" i="31"/>
  <c r="N56" i="9"/>
  <c r="E17" i="74"/>
  <c r="F17" i="74"/>
  <c r="E18" i="74"/>
  <c r="F18" i="74"/>
  <c r="E19" i="74"/>
  <c r="F19" i="74"/>
  <c r="E20" i="74"/>
  <c r="F20" i="74"/>
  <c r="E21" i="74"/>
  <c r="F21" i="74"/>
  <c r="E22" i="74"/>
  <c r="F22" i="74"/>
  <c r="E23" i="74"/>
  <c r="F23" i="74"/>
  <c r="B3" i="74"/>
  <c r="C91" i="9"/>
  <c r="B8" i="72"/>
  <c r="O9" i="71"/>
  <c r="P9" i="71"/>
  <c r="Q9" i="71"/>
  <c r="N9" i="71"/>
  <c r="AE3" i="71"/>
  <c r="AF3" i="71" s="1"/>
  <c r="AG3" i="71"/>
  <c r="AH3"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c r="A8" i="52" s="1"/>
  <c r="E111" i="9"/>
  <c r="A126" i="9" s="1"/>
  <c r="E109" i="9"/>
  <c r="A124" i="9" s="1"/>
  <c r="B44" i="72"/>
  <c r="B42" i="72"/>
  <c r="B69" i="72"/>
  <c r="B68" i="72"/>
  <c r="B63" i="72"/>
  <c r="B62" i="72"/>
  <c r="B65" i="72"/>
  <c r="B60" i="72"/>
  <c r="B59"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s="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C45" i="71" s="1"/>
  <c r="C46" i="71" s="1"/>
  <c r="D46" i="71" s="1"/>
  <c r="N43" i="71"/>
  <c r="B44" i="71"/>
  <c r="B45" i="71" s="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s="1"/>
  <c r="O39" i="71"/>
  <c r="C40" i="71" s="1"/>
  <c r="C41" i="71" s="1"/>
  <c r="N39" i="71"/>
  <c r="B40" i="71" s="1"/>
  <c r="D39" i="71"/>
  <c r="Q38" i="71"/>
  <c r="P38" i="71"/>
  <c r="O38" i="71"/>
  <c r="N38" i="71"/>
  <c r="Q37" i="71"/>
  <c r="P37" i="71"/>
  <c r="O37" i="71"/>
  <c r="N37" i="71"/>
  <c r="Q36" i="71"/>
  <c r="P36" i="71"/>
  <c r="O36" i="71"/>
  <c r="N36" i="71"/>
  <c r="Q35" i="71"/>
  <c r="F36" i="71"/>
  <c r="F37" i="71" s="1"/>
  <c r="F38" i="71" s="1"/>
  <c r="V38" i="71" s="1"/>
  <c r="P35" i="71"/>
  <c r="E36" i="71" s="1"/>
  <c r="O35" i="71"/>
  <c r="C36" i="71" s="1"/>
  <c r="C37" i="71" s="1"/>
  <c r="N35" i="71"/>
  <c r="B36" i="71" s="1"/>
  <c r="D35" i="71"/>
  <c r="Q34" i="71"/>
  <c r="P34" i="71"/>
  <c r="O34" i="71"/>
  <c r="N34" i="71"/>
  <c r="Q33" i="71"/>
  <c r="P33" i="71"/>
  <c r="O33" i="71"/>
  <c r="N33" i="71"/>
  <c r="Q32" i="71"/>
  <c r="P32" i="71"/>
  <c r="O32" i="71"/>
  <c r="N32" i="71"/>
  <c r="Q31" i="71"/>
  <c r="F32" i="71"/>
  <c r="F33" i="71" s="1"/>
  <c r="F34" i="71" s="1"/>
  <c r="V34" i="71" s="1"/>
  <c r="P31" i="71"/>
  <c r="E32" i="71"/>
  <c r="E33" i="71" s="1"/>
  <c r="E34" i="71" s="1"/>
  <c r="U34" i="71" s="1"/>
  <c r="O31" i="71"/>
  <c r="C32" i="71" s="1"/>
  <c r="C33"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C29" i="71" s="1"/>
  <c r="D29" i="71" s="1"/>
  <c r="N27" i="71"/>
  <c r="B28"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D24" i="71" s="1"/>
  <c r="N23" i="71"/>
  <c r="B24" i="71" s="1"/>
  <c r="B25" i="71"/>
  <c r="B26" i="71" s="1"/>
  <c r="S26" i="71" s="1"/>
  <c r="D23" i="71"/>
  <c r="Q22" i="71"/>
  <c r="P22" i="71"/>
  <c r="O22" i="71"/>
  <c r="N22" i="71"/>
  <c r="Q21" i="71"/>
  <c r="AB21" i="71" s="1"/>
  <c r="P21" i="71"/>
  <c r="O21" i="71"/>
  <c r="N21" i="71"/>
  <c r="X21" i="71" s="1"/>
  <c r="Q20" i="71"/>
  <c r="AB20" i="71" s="1"/>
  <c r="P20" i="71"/>
  <c r="O20" i="71"/>
  <c r="N20" i="71"/>
  <c r="X20" i="71" s="1"/>
  <c r="Q19" i="71"/>
  <c r="F20" i="71" s="1"/>
  <c r="P19" i="71"/>
  <c r="E20" i="71" s="1"/>
  <c r="O19" i="71"/>
  <c r="C20" i="71" s="1"/>
  <c r="D20" i="71" s="1"/>
  <c r="N19" i="71"/>
  <c r="D19" i="71"/>
  <c r="Q18" i="71"/>
  <c r="P18" i="71"/>
  <c r="AA16" i="71" s="1"/>
  <c r="O18" i="71"/>
  <c r="N18" i="71"/>
  <c r="Q17" i="71"/>
  <c r="AB17" i="71" s="1"/>
  <c r="P17" i="71"/>
  <c r="O17" i="71"/>
  <c r="Y17" i="71" s="1"/>
  <c r="Z17" i="71" s="1"/>
  <c r="N17" i="71"/>
  <c r="X14" i="71" s="1"/>
  <c r="Q16" i="71"/>
  <c r="P16" i="71"/>
  <c r="O16" i="71"/>
  <c r="N16" i="71"/>
  <c r="Q15" i="71"/>
  <c r="F16" i="71" s="1"/>
  <c r="F17" i="71" s="1"/>
  <c r="P15" i="71"/>
  <c r="O15" i="71"/>
  <c r="N15" i="71"/>
  <c r="D15" i="71"/>
  <c r="Q14" i="71"/>
  <c r="P14" i="71"/>
  <c r="O14" i="71"/>
  <c r="N14" i="71"/>
  <c r="Q13" i="71"/>
  <c r="P13" i="71"/>
  <c r="O13" i="71"/>
  <c r="N13" i="71"/>
  <c r="Q12" i="71"/>
  <c r="AB12" i="71"/>
  <c r="P12" i="71"/>
  <c r="O12" i="71"/>
  <c r="Y12" i="71" s="1"/>
  <c r="Z12" i="71" s="1"/>
  <c r="N12" i="71"/>
  <c r="Q11" i="71"/>
  <c r="AB11" i="71" s="1"/>
  <c r="P11" i="71"/>
  <c r="O11" i="71"/>
  <c r="C12" i="71" s="1"/>
  <c r="N11" i="71"/>
  <c r="D11" i="71"/>
  <c r="O10" i="71"/>
  <c r="N10" i="71"/>
  <c r="B12" i="71"/>
  <c r="B13" i="71"/>
  <c r="B14" i="71" s="1"/>
  <c r="S14" i="71" s="1"/>
  <c r="E12" i="71"/>
  <c r="E13" i="71" s="1"/>
  <c r="E14" i="71" s="1"/>
  <c r="U14" i="71" s="1"/>
  <c r="AA11" i="71"/>
  <c r="B16" i="71"/>
  <c r="B17" i="71"/>
  <c r="B18" i="71" s="1"/>
  <c r="S18" i="71" s="1"/>
  <c r="X19" i="71"/>
  <c r="E21" i="71"/>
  <c r="E22" i="71" s="1"/>
  <c r="U22" i="71" s="1"/>
  <c r="N50" i="71"/>
  <c r="E16" i="71"/>
  <c r="E17" i="71" s="1"/>
  <c r="E18" i="71" s="1"/>
  <c r="U18" i="71" s="1"/>
  <c r="X13" i="71"/>
  <c r="C16" i="71"/>
  <c r="AB15" i="71"/>
  <c r="AA18" i="71"/>
  <c r="AA20" i="71"/>
  <c r="C10" i="71"/>
  <c r="X9" i="71"/>
  <c r="C21" i="71"/>
  <c r="D28" i="71"/>
  <c r="D32" i="71"/>
  <c r="P10" i="71"/>
  <c r="E45" i="71"/>
  <c r="E46" i="71" s="1"/>
  <c r="U46" i="71" s="1"/>
  <c r="U50" i="71"/>
  <c r="Q10" i="71"/>
  <c r="F10" i="71" s="1"/>
  <c r="F9" i="71" s="1"/>
  <c r="F8" i="71" s="1"/>
  <c r="D36" i="71"/>
  <c r="D40" i="71"/>
  <c r="D44" i="71"/>
  <c r="N49" i="71"/>
  <c r="B48" i="71"/>
  <c r="N48" i="71" s="1"/>
  <c r="O50" i="71"/>
  <c r="C49" i="71"/>
  <c r="O49" i="71" s="1"/>
  <c r="C53" i="71"/>
  <c r="D53" i="71" s="1"/>
  <c r="E53" i="71"/>
  <c r="E52" i="71" s="1"/>
  <c r="D54" i="71"/>
  <c r="E57" i="71"/>
  <c r="E56" i="71" s="1"/>
  <c r="C61" i="71"/>
  <c r="D61" i="71" s="1"/>
  <c r="E61" i="71"/>
  <c r="E60" i="71" s="1"/>
  <c r="D62" i="71"/>
  <c r="C65" i="71"/>
  <c r="C69" i="71"/>
  <c r="C68" i="71" s="1"/>
  <c r="D68" i="71" s="1"/>
  <c r="AB3" i="71"/>
  <c r="AB10" i="71"/>
  <c r="AA7" i="71"/>
  <c r="D10" i="71"/>
  <c r="U10" i="71" s="1"/>
  <c r="C48" i="71"/>
  <c r="D49" i="71"/>
  <c r="D45" i="71"/>
  <c r="D65" i="71"/>
  <c r="C64" i="71"/>
  <c r="D64" i="71" s="1"/>
  <c r="N47" i="71"/>
  <c r="D69" i="71"/>
  <c r="C60" i="71"/>
  <c r="D60" i="71" s="1"/>
  <c r="C52" i="71"/>
  <c r="D52" i="71" s="1"/>
  <c r="C42" i="71"/>
  <c r="T42" i="71" s="1"/>
  <c r="D41" i="71"/>
  <c r="C38" i="71"/>
  <c r="T38" i="71" s="1"/>
  <c r="D37" i="71"/>
  <c r="C34" i="71"/>
  <c r="T34" i="71" s="1"/>
  <c r="D33" i="71"/>
  <c r="C22" i="71"/>
  <c r="T22" i="71" s="1"/>
  <c r="D21" i="71"/>
  <c r="O48" i="71"/>
  <c r="D48" i="71"/>
  <c r="O47" i="71"/>
  <c r="D22" i="71"/>
  <c r="M19" i="43" s="1"/>
  <c r="D34" i="71"/>
  <c r="D38" i="71"/>
  <c r="D42"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F94" i="40"/>
  <c r="H25" i="40"/>
  <c r="G94" i="40"/>
  <c r="J25" i="40"/>
  <c r="H29" i="39"/>
  <c r="AB29" i="39" s="1"/>
  <c r="J29" i="39"/>
  <c r="AC29" i="39" s="1"/>
  <c r="J18" i="36"/>
  <c r="AC18" i="36" s="1"/>
  <c r="F68" i="35"/>
  <c r="H18" i="35"/>
  <c r="AB18" i="35" s="1"/>
  <c r="S18" i="35"/>
  <c r="G68" i="35"/>
  <c r="J18" i="35"/>
  <c r="H21" i="37"/>
  <c r="F21" i="37"/>
  <c r="AA21" i="37" s="1"/>
  <c r="H21" i="34"/>
  <c r="AB21" i="34" s="1"/>
  <c r="F83" i="33"/>
  <c r="H21" i="33"/>
  <c r="U21" i="33" s="1"/>
  <c r="F21" i="33"/>
  <c r="AA21" i="33" s="1"/>
  <c r="E83" i="21"/>
  <c r="F83" i="21" s="1"/>
  <c r="G83" i="21" s="1"/>
  <c r="S21" i="21"/>
  <c r="H1" i="69"/>
  <c r="AC25" i="40"/>
  <c r="W25" i="40"/>
  <c r="AB25" i="40"/>
  <c r="U25" i="40"/>
  <c r="U29" i="39"/>
  <c r="W29" i="39"/>
  <c r="W18" i="36"/>
  <c r="AB21" i="37"/>
  <c r="U21" i="37"/>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s="1"/>
  <c r="F23" i="67"/>
  <c r="D24" i="67" s="1"/>
  <c r="F21" i="67"/>
  <c r="F20" i="67"/>
  <c r="M19" i="67"/>
  <c r="F18" i="67"/>
  <c r="F17" i="67"/>
  <c r="F15" i="67"/>
  <c r="S2" i="4"/>
  <c r="A13" i="51"/>
  <c r="B11" i="72" s="1"/>
  <c r="S1" i="4"/>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2"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D67" i="43" s="1"/>
  <c r="M66" i="43"/>
  <c r="N66" i="43" s="1"/>
  <c r="K66" i="43"/>
  <c r="J66" i="43" s="1"/>
  <c r="D66" i="43" s="1"/>
  <c r="M65" i="43"/>
  <c r="N65" i="43"/>
  <c r="K65" i="43"/>
  <c r="D65" i="43" s="1"/>
  <c r="J65" i="43"/>
  <c r="M64" i="43"/>
  <c r="N64" i="43" s="1"/>
  <c r="K64" i="43"/>
  <c r="D64" i="43" s="1"/>
  <c r="M63" i="43"/>
  <c r="D63" i="43" s="1"/>
  <c r="N63" i="43"/>
  <c r="K63" i="43"/>
  <c r="J63" i="43"/>
  <c r="M62" i="43"/>
  <c r="N62" i="43" s="1"/>
  <c r="K62" i="43"/>
  <c r="J62" i="43" s="1"/>
  <c r="M61" i="43"/>
  <c r="N61" i="43"/>
  <c r="K61" i="43"/>
  <c r="D61" i="43" s="1"/>
  <c r="J61" i="43"/>
  <c r="M60" i="43"/>
  <c r="N60" i="43" s="1"/>
  <c r="K60" i="43"/>
  <c r="J60" i="43" s="1"/>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T35" i="4" s="1"/>
  <c r="A19" i="51" s="1"/>
  <c r="B14" i="72" s="1"/>
  <c r="G13" i="1"/>
  <c r="G11" i="1"/>
  <c r="I15" i="4"/>
  <c r="H15" i="4"/>
  <c r="G15" i="4"/>
  <c r="F8" i="1" s="1"/>
  <c r="E15" i="4"/>
  <c r="D15" i="4"/>
  <c r="F7" i="1"/>
  <c r="G7" i="1" s="1"/>
  <c r="L21" i="4"/>
  <c r="F19" i="4"/>
  <c r="F2" i="52"/>
  <c r="B50" i="72" s="1"/>
  <c r="D2" i="52"/>
  <c r="B46" i="72" s="1"/>
  <c r="B8" i="53"/>
  <c r="B23" i="72" s="1"/>
  <c r="L4" i="9"/>
  <c r="B17" i="72"/>
  <c r="B15" i="72"/>
  <c r="A3" i="51"/>
  <c r="C8" i="11"/>
  <c r="B2" i="49"/>
  <c r="B23" i="49" s="1"/>
  <c r="B40" i="48"/>
  <c r="B3" i="72" s="1"/>
  <c r="I2" i="43"/>
  <c r="N1" i="43" s="1"/>
  <c r="F35" i="4"/>
  <c r="J55" i="39"/>
  <c r="H34" i="43"/>
  <c r="H35" i="43"/>
  <c r="H36" i="43"/>
  <c r="H37" i="43"/>
  <c r="H33" i="43"/>
  <c r="J20" i="43"/>
  <c r="C18" i="43"/>
  <c r="F15" i="43"/>
  <c r="E15" i="43"/>
  <c r="D15" i="43"/>
  <c r="C15" i="43"/>
  <c r="C10" i="43"/>
  <c r="C11" i="43" s="1"/>
  <c r="C9" i="43"/>
  <c r="A7" i="43"/>
  <c r="F33" i="15"/>
  <c r="F61" i="15" s="1"/>
  <c r="M19" i="15"/>
  <c r="BR13" i="3"/>
  <c r="M10" i="1"/>
  <c r="O10" i="1" s="1"/>
  <c r="B22" i="1"/>
  <c r="B23" i="1"/>
  <c r="B24" i="1"/>
  <c r="F34" i="79"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B15" i="74"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F5" i="3" s="1"/>
  <c r="BG526" i="3"/>
  <c r="BH526" i="3"/>
  <c r="BI526" i="3"/>
  <c r="BJ526" i="3"/>
  <c r="BK526" i="3"/>
  <c r="BM526" i="3"/>
  <c r="BL526" i="3" s="1"/>
  <c r="BN526" i="3"/>
  <c r="BO526" i="3"/>
  <c r="BO5" i="3" s="1"/>
  <c r="BP526" i="3"/>
  <c r="BQ526" i="3"/>
  <c r="BR526" i="3"/>
  <c r="BS526" i="3"/>
  <c r="BT526" i="3"/>
  <c r="H527" i="3"/>
  <c r="AC527" i="3"/>
  <c r="BB527" i="3"/>
  <c r="BC527" i="3"/>
  <c r="BD527" i="3"/>
  <c r="BE527" i="3"/>
  <c r="BF527" i="3"/>
  <c r="BG527" i="3"/>
  <c r="BH527" i="3"/>
  <c r="BI527" i="3"/>
  <c r="BJ527" i="3"/>
  <c r="BK527" i="3"/>
  <c r="BM527" i="3"/>
  <c r="BN527" i="3"/>
  <c r="BO527" i="3"/>
  <c r="BP527" i="3"/>
  <c r="BR527" i="3"/>
  <c r="BR5" i="3" s="1"/>
  <c r="BS527" i="3"/>
  <c r="BT527" i="3"/>
  <c r="BT5" i="3" s="1"/>
  <c r="H528" i="3"/>
  <c r="AC528" i="3"/>
  <c r="BB528" i="3"/>
  <c r="BC528" i="3"/>
  <c r="BD528" i="3"/>
  <c r="BE528" i="3"/>
  <c r="BF528" i="3"/>
  <c r="BG528" i="3"/>
  <c r="BH528" i="3"/>
  <c r="BI528" i="3"/>
  <c r="BI5" i="3" s="1"/>
  <c r="BJ528" i="3"/>
  <c r="BK528" i="3"/>
  <c r="BM528" i="3"/>
  <c r="BN528" i="3"/>
  <c r="BL528" i="3" s="1"/>
  <c r="BO528" i="3"/>
  <c r="BP528" i="3"/>
  <c r="BP5" i="3" s="1"/>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c r="F90" i="40" s="1"/>
  <c r="G90" i="40" s="1"/>
  <c r="D88" i="40"/>
  <c r="E88" i="40"/>
  <c r="F88" i="40" s="1"/>
  <c r="D86" i="40"/>
  <c r="E86" i="40"/>
  <c r="F86" i="40" s="1"/>
  <c r="G86" i="40" s="1"/>
  <c r="D84" i="40"/>
  <c r="E84" i="40"/>
  <c r="F84" i="40" s="1"/>
  <c r="G84" i="40" s="1"/>
  <c r="B81" i="40"/>
  <c r="B79" i="40"/>
  <c r="J13" i="40" s="1"/>
  <c r="W13" i="40" s="1"/>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c r="F97" i="37"/>
  <c r="E97" i="37"/>
  <c r="D97" i="37"/>
  <c r="C97" i="37"/>
  <c r="D96" i="37"/>
  <c r="E96" i="37"/>
  <c r="F96" i="37" s="1"/>
  <c r="D94" i="37"/>
  <c r="M90" i="37"/>
  <c r="L90" i="37"/>
  <c r="K90" i="37"/>
  <c r="J90" i="37"/>
  <c r="I90" i="37"/>
  <c r="H90" i="37"/>
  <c r="G90" i="37"/>
  <c r="F90" i="37"/>
  <c r="E90" i="37"/>
  <c r="D90" i="37"/>
  <c r="C90" i="37"/>
  <c r="D89" i="37"/>
  <c r="B86" i="37"/>
  <c r="J28" i="37" s="1"/>
  <c r="B84" i="37"/>
  <c r="H27" i="37"/>
  <c r="U27" i="37" s="1"/>
  <c r="B82" i="37"/>
  <c r="D79" i="37"/>
  <c r="E79" i="37" s="1"/>
  <c r="F79" i="37" s="1"/>
  <c r="G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D70" i="36"/>
  <c r="H22" i="36"/>
  <c r="AB22" i="36" s="1"/>
  <c r="D68" i="36"/>
  <c r="E68" i="36" s="1"/>
  <c r="F68" i="36" s="1"/>
  <c r="G68" i="36" s="1"/>
  <c r="D64" i="36"/>
  <c r="E64" i="36" s="1"/>
  <c r="F64" i="36" s="1"/>
  <c r="G64" i="36" s="1"/>
  <c r="J16" i="36"/>
  <c r="D62" i="36"/>
  <c r="E62" i="36" s="1"/>
  <c r="F62" i="36"/>
  <c r="G62"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J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D86" i="34"/>
  <c r="E86" i="34" s="1"/>
  <c r="F86" i="34" s="1"/>
  <c r="G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T48" i="33" s="1"/>
  <c r="G48" i="33" s="1"/>
  <c r="G52" i="33" s="1"/>
  <c r="H52" i="33" s="1"/>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0" i="20"/>
  <c r="B77" i="43" s="1"/>
  <c r="C18" i="20"/>
  <c r="B71" i="43"/>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D38"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12" i="21"/>
  <c r="AC12" i="21" s="1"/>
  <c r="H12" i="21"/>
  <c r="J26" i="21"/>
  <c r="W26" i="21" s="1"/>
  <c r="F26" i="21"/>
  <c r="S26" i="21" s="1"/>
  <c r="AB41" i="21"/>
  <c r="S41" i="21"/>
  <c r="AA41" i="21"/>
  <c r="F45" i="39"/>
  <c r="S45" i="39" s="1"/>
  <c r="J45" i="39"/>
  <c r="W45" i="39" s="1"/>
  <c r="J44" i="39"/>
  <c r="AC44" i="39" s="1"/>
  <c r="F36" i="39"/>
  <c r="S36" i="39" s="1"/>
  <c r="J35" i="39"/>
  <c r="F35" i="39"/>
  <c r="AA35" i="39" s="1"/>
  <c r="U9" i="39"/>
  <c r="W40" i="39"/>
  <c r="W25" i="37"/>
  <c r="U30" i="37"/>
  <c r="W31" i="37"/>
  <c r="F39" i="37"/>
  <c r="S39" i="37" s="1"/>
  <c r="U14" i="37"/>
  <c r="F29" i="36"/>
  <c r="AA29" i="36" s="1"/>
  <c r="W8" i="36"/>
  <c r="F16" i="36"/>
  <c r="AA16" i="36" s="1"/>
  <c r="U9" i="36"/>
  <c r="W28" i="36"/>
  <c r="S30" i="36"/>
  <c r="AC31" i="36"/>
  <c r="W31" i="36"/>
  <c r="U31" i="36"/>
  <c r="J33" i="36"/>
  <c r="W33" i="36"/>
  <c r="H22" i="35"/>
  <c r="AB22" i="35"/>
  <c r="AC27" i="35"/>
  <c r="W28" i="35"/>
  <c r="S34" i="35"/>
  <c r="W34" i="35"/>
  <c r="W22" i="35"/>
  <c r="S31" i="35"/>
  <c r="F36" i="34"/>
  <c r="S34" i="34"/>
  <c r="U34" i="34"/>
  <c r="H39" i="33"/>
  <c r="AB39" i="33"/>
  <c r="F26" i="33"/>
  <c r="AA26" i="33"/>
  <c r="U33" i="33"/>
  <c r="S40" i="33"/>
  <c r="W39" i="33"/>
  <c r="H39" i="37"/>
  <c r="AB39" i="37"/>
  <c r="S27" i="35"/>
  <c r="F11" i="40"/>
  <c r="AA11" i="40" s="1"/>
  <c r="H11" i="40"/>
  <c r="AB11" i="40" s="1"/>
  <c r="W8" i="40"/>
  <c r="AC40" i="40"/>
  <c r="AA9" i="40"/>
  <c r="AC9" i="40"/>
  <c r="S34" i="40"/>
  <c r="S40" i="40"/>
  <c r="U34" i="40"/>
  <c r="F42" i="39"/>
  <c r="AA42" i="39"/>
  <c r="F41" i="39"/>
  <c r="S41" i="39"/>
  <c r="H40" i="39"/>
  <c r="AB40" i="39"/>
  <c r="H39" i="39"/>
  <c r="U39" i="39"/>
  <c r="S38"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s="1"/>
  <c r="S40" i="21"/>
  <c r="U34" i="21"/>
  <c r="S34" i="21"/>
  <c r="C21" i="39"/>
  <c r="H11" i="39"/>
  <c r="S40" i="39"/>
  <c r="H32" i="33"/>
  <c r="H11" i="21"/>
  <c r="U11" i="21" s="1"/>
  <c r="J11" i="21"/>
  <c r="W11" i="21" s="1"/>
  <c r="H37" i="40"/>
  <c r="U37" i="40" s="1"/>
  <c r="H36" i="40"/>
  <c r="F35" i="40"/>
  <c r="AA35" i="40" s="1"/>
  <c r="H23" i="40"/>
  <c r="AB23" i="40" s="1"/>
  <c r="H17" i="40"/>
  <c r="U17" i="40" s="1"/>
  <c r="J15" i="40"/>
  <c r="W15" i="40" s="1"/>
  <c r="J11" i="40"/>
  <c r="W11" i="40" s="1"/>
  <c r="AB8" i="39"/>
  <c r="AA12" i="34"/>
  <c r="AB12" i="35"/>
  <c r="W32" i="40"/>
  <c r="S44" i="39"/>
  <c r="F37" i="39"/>
  <c r="AA37" i="39" s="1"/>
  <c r="J34" i="36"/>
  <c r="W34" i="36"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AC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U42" i="34"/>
  <c r="H40" i="34"/>
  <c r="U40" i="34" s="1"/>
  <c r="E114" i="34"/>
  <c r="H36" i="34"/>
  <c r="U36" i="34" s="1"/>
  <c r="F37" i="34"/>
  <c r="AA37" i="34" s="1"/>
  <c r="F28" i="34"/>
  <c r="AA28" i="34" s="1"/>
  <c r="F27" i="34"/>
  <c r="AA27" i="34" s="1"/>
  <c r="H23" i="34"/>
  <c r="U23" i="34" s="1"/>
  <c r="J23" i="34"/>
  <c r="AC23" i="34" s="1"/>
  <c r="H17" i="34"/>
  <c r="U17" i="34" s="1"/>
  <c r="J15" i="34"/>
  <c r="J28" i="34"/>
  <c r="W28" i="34" s="1"/>
  <c r="F41" i="33"/>
  <c r="AA41" i="33" s="1"/>
  <c r="E113" i="33"/>
  <c r="F32" i="33"/>
  <c r="AA32" i="33" s="1"/>
  <c r="J19" i="33"/>
  <c r="AC19" i="33" s="1"/>
  <c r="J15" i="33"/>
  <c r="AC15" i="33" s="1"/>
  <c r="F11" i="33"/>
  <c r="AA11" i="33" s="1"/>
  <c r="S26" i="33"/>
  <c r="U40" i="33"/>
  <c r="W40" i="33"/>
  <c r="S8" i="33"/>
  <c r="F37" i="40"/>
  <c r="AA37" i="40"/>
  <c r="F36" i="40"/>
  <c r="AA36" i="40"/>
  <c r="H28" i="40"/>
  <c r="U28" i="40"/>
  <c r="F23" i="40"/>
  <c r="AA23" i="40"/>
  <c r="F17" i="40"/>
  <c r="AA17" i="40"/>
  <c r="J17" i="40"/>
  <c r="W17" i="40"/>
  <c r="F15" i="40"/>
  <c r="S15" i="40" s="1"/>
  <c r="H15" i="40"/>
  <c r="AB15" i="40" s="1"/>
  <c r="AC11" i="40"/>
  <c r="AC34" i="36"/>
  <c r="U30" i="35"/>
  <c r="U33" i="35"/>
  <c r="F29" i="35"/>
  <c r="S29" i="35" s="1"/>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W36" i="34" s="1"/>
  <c r="H37"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10" i="35"/>
  <c r="W10" i="35"/>
  <c r="J14" i="21"/>
  <c r="W14" i="21" s="1"/>
  <c r="F14" i="21"/>
  <c r="S14" i="21" s="1"/>
  <c r="H14" i="21"/>
  <c r="U14" i="21" s="1"/>
  <c r="H28" i="21"/>
  <c r="AB28" i="21" s="1"/>
  <c r="F28" i="21"/>
  <c r="AA28" i="21" s="1"/>
  <c r="J28" i="21"/>
  <c r="W28" i="21" s="1"/>
  <c r="H30" i="2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J37" i="37"/>
  <c r="AC37" i="37"/>
  <c r="H37" i="37"/>
  <c r="U37" i="37"/>
  <c r="H40" i="37"/>
  <c r="U40" i="37"/>
  <c r="J40" i="37"/>
  <c r="AC40" i="37"/>
  <c r="F40" i="37"/>
  <c r="AA40" i="37"/>
  <c r="W12" i="40"/>
  <c r="H14" i="33"/>
  <c r="U14" i="33"/>
  <c r="F14" i="33"/>
  <c r="S14" i="33"/>
  <c r="J14" i="33"/>
  <c r="H30" i="33"/>
  <c r="AB30" i="33" s="1"/>
  <c r="F30" i="33"/>
  <c r="J30" i="33"/>
  <c r="W30" i="33" s="1"/>
  <c r="H44" i="33"/>
  <c r="J44" i="33"/>
  <c r="F44" i="33"/>
  <c r="S44" i="33" s="1"/>
  <c r="J46" i="33"/>
  <c r="AC46" i="33" s="1"/>
  <c r="F46" i="33"/>
  <c r="AA46" i="33" s="1"/>
  <c r="H46" i="33"/>
  <c r="AB46" i="33" s="1"/>
  <c r="H13" i="34"/>
  <c r="J13" i="34"/>
  <c r="W13" i="34" s="1"/>
  <c r="F13" i="34"/>
  <c r="AA13" i="34" s="1"/>
  <c r="J29" i="34"/>
  <c r="W29" i="34" s="1"/>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H13" i="37"/>
  <c r="AB13" i="37" s="1"/>
  <c r="F13" i="37"/>
  <c r="S13" i="37" s="1"/>
  <c r="J13" i="37"/>
  <c r="W13" i="37" s="1"/>
  <c r="H38" i="37"/>
  <c r="AB38" i="37" s="1"/>
  <c r="F43" i="39"/>
  <c r="AA43" i="39" s="1"/>
  <c r="H43" i="39"/>
  <c r="F12" i="40"/>
  <c r="S12" i="40" s="1"/>
  <c r="H12" i="40"/>
  <c r="H30" i="40"/>
  <c r="AB30" i="40" s="1"/>
  <c r="F33" i="40"/>
  <c r="AA33" i="40" s="1"/>
  <c r="H33" i="40"/>
  <c r="U33" i="40" s="1"/>
  <c r="J35" i="40"/>
  <c r="AC35" i="40" s="1"/>
  <c r="J37" i="40"/>
  <c r="AC37" i="40" s="1"/>
  <c r="F13" i="40"/>
  <c r="AA13" i="40" s="1"/>
  <c r="F14" i="37"/>
  <c r="S14" i="37" s="1"/>
  <c r="F27" i="37"/>
  <c r="AA27" i="37" s="1"/>
  <c r="F13" i="39"/>
  <c r="J13" i="39"/>
  <c r="W13" i="39" s="1"/>
  <c r="H13" i="39"/>
  <c r="H14" i="40"/>
  <c r="AB14" i="40" s="1"/>
  <c r="J14" i="40"/>
  <c r="W14" i="40" s="1"/>
  <c r="F14" i="40"/>
  <c r="AA14" i="40" s="1"/>
  <c r="J14" i="37"/>
  <c r="J27" i="37"/>
  <c r="AC27" i="37" s="1"/>
  <c r="AA44" i="33"/>
  <c r="U46" i="33"/>
  <c r="AA14" i="33"/>
  <c r="J36" i="37"/>
  <c r="AC36" i="37" s="1"/>
  <c r="G105" i="37"/>
  <c r="AB11" i="36"/>
  <c r="AB11" i="35"/>
  <c r="J10" i="36"/>
  <c r="AC10" i="36" s="1"/>
  <c r="AA14" i="37"/>
  <c r="AC13" i="36"/>
  <c r="W13" i="36"/>
  <c r="S11" i="36"/>
  <c r="W11" i="36"/>
  <c r="W11" i="35"/>
  <c r="AB46" i="34"/>
  <c r="AC30" i="34"/>
  <c r="AA14" i="34"/>
  <c r="S45" i="33"/>
  <c r="AB45" i="33"/>
  <c r="AB31" i="33"/>
  <c r="U31" i="33"/>
  <c r="W29" i="33"/>
  <c r="U13" i="33"/>
  <c r="AC28" i="21"/>
  <c r="BA586" i="3"/>
  <c r="F17" i="21"/>
  <c r="AA17" i="21" s="1"/>
  <c r="H17" i="21"/>
  <c r="AB17" i="21" s="1"/>
  <c r="F15" i="21"/>
  <c r="S15" i="21" s="1"/>
  <c r="AB11" i="21"/>
  <c r="J41" i="39"/>
  <c r="W41" i="39" s="1"/>
  <c r="AC45" i="39"/>
  <c r="W44" i="39"/>
  <c r="S35" i="39"/>
  <c r="G536" i="3"/>
  <c r="G528" i="3"/>
  <c r="G523" i="3"/>
  <c r="G518" i="3"/>
  <c r="G514" i="3"/>
  <c r="G510" i="3"/>
  <c r="G508" i="3"/>
  <c r="G504" i="3"/>
  <c r="G500" i="3"/>
  <c r="G496" i="3"/>
  <c r="G576" i="3"/>
  <c r="G568" i="3"/>
  <c r="G564" i="3"/>
  <c r="G560" i="3"/>
  <c r="G550" i="3"/>
  <c r="BL572" i="3"/>
  <c r="BL568" i="3"/>
  <c r="BL564" i="3"/>
  <c r="BL560" i="3"/>
  <c r="BL554" i="3"/>
  <c r="BL534" i="3"/>
  <c r="BL522" i="3"/>
  <c r="BL516" i="3"/>
  <c r="BL512" i="3"/>
  <c r="BL506" i="3"/>
  <c r="AZ506" i="3" s="1"/>
  <c r="BL502" i="3"/>
  <c r="BL498" i="3"/>
  <c r="BL494" i="3"/>
  <c r="BL574" i="3"/>
  <c r="BL566" i="3"/>
  <c r="BL562" i="3"/>
  <c r="BL556" i="3"/>
  <c r="BL544" i="3"/>
  <c r="BL532" i="3"/>
  <c r="G525" i="3"/>
  <c r="BL524" i="3"/>
  <c r="BL518" i="3"/>
  <c r="BL514" i="3"/>
  <c r="BL510" i="3"/>
  <c r="BL504" i="3"/>
  <c r="BL500" i="3"/>
  <c r="BL496" i="3"/>
  <c r="G493" i="3"/>
  <c r="BA580" i="3"/>
  <c r="BA572" i="3"/>
  <c r="AZ572" i="3" s="1"/>
  <c r="BA568" i="3"/>
  <c r="AZ568" i="3" s="1"/>
  <c r="BA566" i="3"/>
  <c r="BA564" i="3"/>
  <c r="BA562" i="3"/>
  <c r="AZ562" i="3" s="1"/>
  <c r="BA560" i="3"/>
  <c r="BA558" i="3"/>
  <c r="AZ558" i="3"/>
  <c r="BA556" i="3"/>
  <c r="AZ556" i="3"/>
  <c r="BA546" i="3"/>
  <c r="BA528"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BA583" i="3"/>
  <c r="BA575" i="3"/>
  <c r="BA569" i="3"/>
  <c r="BA567" i="3"/>
  <c r="BA565" i="3"/>
  <c r="BA563" i="3"/>
  <c r="BA561" i="3"/>
  <c r="BA559" i="3"/>
  <c r="BA553" i="3"/>
  <c r="BA543" i="3"/>
  <c r="BA535" i="3"/>
  <c r="BA527" i="3"/>
  <c r="BA525" i="3"/>
  <c r="BA523" i="3"/>
  <c r="BA519" i="3"/>
  <c r="BA517" i="3"/>
  <c r="AZ517" i="3" s="1"/>
  <c r="BA515" i="3"/>
  <c r="BA513" i="3"/>
  <c r="AZ513" i="3" s="1"/>
  <c r="BA511" i="3"/>
  <c r="BA507" i="3"/>
  <c r="BA505" i="3"/>
  <c r="BA503" i="3"/>
  <c r="BA501" i="3"/>
  <c r="BA499" i="3"/>
  <c r="AZ499" i="3" s="1"/>
  <c r="BA497" i="3"/>
  <c r="BA495" i="3"/>
  <c r="AZ495" i="3" s="1"/>
  <c r="BA493" i="3"/>
  <c r="AZ560" i="3"/>
  <c r="G577" i="3"/>
  <c r="G569" i="3"/>
  <c r="G567" i="3"/>
  <c r="G565" i="3"/>
  <c r="G563" i="3"/>
  <c r="G561" i="3"/>
  <c r="BL558" i="3"/>
  <c r="BA557" i="3"/>
  <c r="AC557" i="3"/>
  <c r="G557" i="3" s="1"/>
  <c r="BQ557" i="3"/>
  <c r="BL557" i="3" s="1"/>
  <c r="BQ583" i="3"/>
  <c r="BQ581" i="3"/>
  <c r="BQ579" i="3"/>
  <c r="BQ577" i="3"/>
  <c r="BL577" i="3" s="1"/>
  <c r="BQ575" i="3"/>
  <c r="BL575" i="3"/>
  <c r="BQ573" i="3"/>
  <c r="BQ571" i="3"/>
  <c r="BQ569" i="3"/>
  <c r="BL569" i="3" s="1"/>
  <c r="AZ569" i="3" s="1"/>
  <c r="BQ567" i="3"/>
  <c r="BL567" i="3"/>
  <c r="BQ565" i="3"/>
  <c r="BL565" i="3" s="1"/>
  <c r="AZ565" i="3" s="1"/>
  <c r="BQ563" i="3"/>
  <c r="BL563" i="3" s="1"/>
  <c r="BQ561" i="3"/>
  <c r="BL561" i="3" s="1"/>
  <c r="AZ561" i="3" s="1"/>
  <c r="BQ559" i="3"/>
  <c r="BL559" i="3" s="1"/>
  <c r="AZ559" i="3" s="1"/>
  <c r="G559" i="3"/>
  <c r="G549" i="3"/>
  <c r="G541" i="3"/>
  <c r="BQ555" i="3"/>
  <c r="BQ553" i="3"/>
  <c r="BQ551" i="3"/>
  <c r="BQ549" i="3"/>
  <c r="BQ547" i="3"/>
  <c r="BQ545" i="3"/>
  <c r="BQ543" i="3"/>
  <c r="BQ541" i="3"/>
  <c r="BQ539" i="3"/>
  <c r="BQ537" i="3"/>
  <c r="BQ535" i="3"/>
  <c r="BL535" i="3" s="1"/>
  <c r="AZ535" i="3" s="1"/>
  <c r="BQ533" i="3"/>
  <c r="BL533" i="3"/>
  <c r="BQ531" i="3"/>
  <c r="BQ529" i="3"/>
  <c r="BQ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A36" i="39"/>
  <c r="F39" i="33"/>
  <c r="AA39" i="33"/>
  <c r="E123" i="33"/>
  <c r="F42" i="33"/>
  <c r="AA42" i="33" s="1"/>
  <c r="H28" i="34"/>
  <c r="AB28" i="34" s="1"/>
  <c r="F14" i="36"/>
  <c r="AA14" i="36" s="1"/>
  <c r="F22" i="36"/>
  <c r="S22" i="36" s="1"/>
  <c r="F26" i="36"/>
  <c r="S26" i="36" s="1"/>
  <c r="H27" i="34"/>
  <c r="AB27" i="34" s="1"/>
  <c r="H35" i="34"/>
  <c r="U35"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W23" i="35"/>
  <c r="U39" i="37"/>
  <c r="W26" i="37"/>
  <c r="AC8" i="37"/>
  <c r="U26" i="37"/>
  <c r="W47" i="34"/>
  <c r="W37" i="34"/>
  <c r="AA13" i="33"/>
  <c r="AC31" i="33"/>
  <c r="AC45" i="33"/>
  <c r="U11" i="33"/>
  <c r="U19" i="21"/>
  <c r="AC46" i="21"/>
  <c r="AB38" i="21"/>
  <c r="F43" i="33"/>
  <c r="AA43" i="33"/>
  <c r="W16" i="35"/>
  <c r="W40" i="37"/>
  <c r="H37" i="21"/>
  <c r="U37" i="21" s="1"/>
  <c r="H19" i="34"/>
  <c r="AB19" i="34" s="1"/>
  <c r="F36" i="35"/>
  <c r="S36" i="35"/>
  <c r="J9" i="37"/>
  <c r="W9" i="37"/>
  <c r="H9" i="37"/>
  <c r="AB9" i="37"/>
  <c r="F9" i="37"/>
  <c r="S9" i="37"/>
  <c r="J12" i="37"/>
  <c r="W12" i="37"/>
  <c r="H12" i="37"/>
  <c r="AB12" i="37"/>
  <c r="F12" i="37"/>
  <c r="S12" i="37"/>
  <c r="E71" i="37"/>
  <c r="F15" i="37"/>
  <c r="E94" i="37"/>
  <c r="F31" i="37"/>
  <c r="S31" i="37"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c r="G88" i="40"/>
  <c r="F19" i="40"/>
  <c r="S19" i="40"/>
  <c r="S14" i="40"/>
  <c r="AC13" i="40"/>
  <c r="AB33" i="40"/>
  <c r="W23" i="39"/>
  <c r="AC43" i="39"/>
  <c r="W43" i="39"/>
  <c r="U45" i="39"/>
  <c r="AB45" i="39"/>
  <c r="AB44" i="39"/>
  <c r="U44" i="39"/>
  <c r="W37" i="39"/>
  <c r="H25" i="39"/>
  <c r="AB25" i="39" s="1"/>
  <c r="J25" i="39"/>
  <c r="W25" i="39" s="1"/>
  <c r="F25" i="39"/>
  <c r="AA25" i="39"/>
  <c r="F15" i="39"/>
  <c r="AA15" i="39"/>
  <c r="H15" i="39"/>
  <c r="U15" i="39"/>
  <c r="J15" i="39"/>
  <c r="W15" i="39"/>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AZ24" i="3"/>
  <c r="AZ28" i="3"/>
  <c r="AZ494" i="3"/>
  <c r="AZ514" i="3"/>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AZ168" i="3" s="1"/>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83" i="3"/>
  <c r="AZ136" i="3"/>
  <c r="AZ152" i="3"/>
  <c r="AZ160" i="3"/>
  <c r="AZ184" i="3"/>
  <c r="AZ192" i="3"/>
  <c r="AZ200" i="3"/>
  <c r="AZ85" i="3"/>
  <c r="AZ93" i="3"/>
  <c r="AZ105" i="3"/>
  <c r="AZ12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BA390" i="3"/>
  <c r="BL390" i="3"/>
  <c r="G391" i="3"/>
  <c r="G394" i="3"/>
  <c r="AZ142" i="3"/>
  <c r="AZ150" i="3"/>
  <c r="AZ154" i="3"/>
  <c r="AZ158" i="3"/>
  <c r="AZ166" i="3"/>
  <c r="AZ170" i="3"/>
  <c r="AZ174" i="3"/>
  <c r="AZ182" i="3"/>
  <c r="AZ186" i="3"/>
  <c r="AZ190" i="3"/>
  <c r="AZ198" i="3"/>
  <c r="AZ202" i="3"/>
  <c r="AZ206" i="3"/>
  <c r="AZ500" i="3"/>
  <c r="BA16" i="3"/>
  <c r="AZ16" i="3" s="1"/>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AZ388" i="3" s="1"/>
  <c r="G389" i="3"/>
  <c r="BA391" i="3"/>
  <c r="AZ391" i="3" s="1"/>
  <c r="BL392" i="3"/>
  <c r="G393" i="3"/>
  <c r="AZ263" i="3"/>
  <c r="AZ279" i="3"/>
  <c r="AZ283" i="3"/>
  <c r="AZ291" i="3"/>
  <c r="BJ5" i="3"/>
  <c r="AZ309" i="3"/>
  <c r="AZ317" i="3"/>
  <c r="AZ325" i="3"/>
  <c r="AZ341" i="3"/>
  <c r="AC5" i="3"/>
  <c r="AZ496" i="3"/>
  <c r="G538" i="3"/>
  <c r="G520" i="3"/>
  <c r="G502" i="3"/>
  <c r="AZ343" i="3"/>
  <c r="BE5" i="3"/>
  <c r="G17" i="3"/>
  <c r="BA17" i="3"/>
  <c r="AZ352" i="3"/>
  <c r="AZ364" i="3"/>
  <c r="BA15" i="3"/>
  <c r="AZ15" i="3" s="1"/>
  <c r="AZ392" i="3"/>
  <c r="AZ394" i="3"/>
  <c r="G509" i="3"/>
  <c r="AZ491" i="3"/>
  <c r="AZ382" i="3"/>
  <c r="N4" i="43"/>
  <c r="F36" i="43"/>
  <c r="F81" i="43"/>
  <c r="H83" i="43" s="1"/>
  <c r="H113" i="43"/>
  <c r="F48" i="43"/>
  <c r="H52" i="43" s="1"/>
  <c r="N7" i="43"/>
  <c r="F70" i="43"/>
  <c r="H73" i="43" s="1"/>
  <c r="M6" i="43"/>
  <c r="M11" i="43"/>
  <c r="E17" i="43"/>
  <c r="F39" i="43"/>
  <c r="I17" i="43"/>
  <c r="F35" i="43"/>
  <c r="J17" i="43"/>
  <c r="F6" i="1"/>
  <c r="I20" i="43" s="1"/>
  <c r="U17" i="39"/>
  <c r="S14" i="35"/>
  <c r="U35" i="21"/>
  <c r="AC35" i="21"/>
  <c r="U10" i="21"/>
  <c r="G8" i="1"/>
  <c r="G9" i="1"/>
  <c r="G10" i="1"/>
  <c r="F48" i="9"/>
  <c r="O52" i="9" s="1"/>
  <c r="AC11" i="39"/>
  <c r="AZ563" i="3"/>
  <c r="W37" i="37"/>
  <c r="AA12" i="40"/>
  <c r="J37" i="33"/>
  <c r="W37" i="33" s="1"/>
  <c r="F106" i="33"/>
  <c r="G106" i="33" s="1"/>
  <c r="H106" i="33" s="1"/>
  <c r="I106" i="33" s="1"/>
  <c r="J106" i="33" s="1"/>
  <c r="K106" i="33" s="1"/>
  <c r="L106" i="33" s="1"/>
  <c r="M106" i="33" s="1"/>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H35" i="37"/>
  <c r="U35" i="37" s="1"/>
  <c r="AC14" i="35"/>
  <c r="H20" i="35"/>
  <c r="U20" i="35"/>
  <c r="F20" i="35"/>
  <c r="AA20" i="35"/>
  <c r="AB29" i="36"/>
  <c r="U29" i="36"/>
  <c r="H32" i="37"/>
  <c r="AB32" i="37" s="1"/>
  <c r="J27" i="40"/>
  <c r="AC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15" i="3"/>
  <c r="AZ227" i="3"/>
  <c r="AZ232" i="3"/>
  <c r="AZ243" i="3"/>
  <c r="AZ248" i="3"/>
  <c r="AZ259" i="3"/>
  <c r="AZ268" i="3"/>
  <c r="AZ296" i="3"/>
  <c r="AZ114" i="3"/>
  <c r="AZ130" i="3"/>
  <c r="AZ21" i="3"/>
  <c r="AZ50" i="3"/>
  <c r="AZ53" i="3"/>
  <c r="AZ66" i="3"/>
  <c r="AZ69" i="3"/>
  <c r="AZ72" i="3"/>
  <c r="AZ74" i="3"/>
  <c r="AZ82" i="3"/>
  <c r="AZ86" i="3"/>
  <c r="AZ94" i="3"/>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D93" i="9"/>
  <c r="W26" i="33"/>
  <c r="W27" i="34"/>
  <c r="AB34" i="36"/>
  <c r="U34" i="36"/>
  <c r="AB33" i="36"/>
  <c r="U33" i="36"/>
  <c r="AC12" i="39"/>
  <c r="AZ412" i="3"/>
  <c r="AZ428" i="3"/>
  <c r="W12" i="33"/>
  <c r="AC12" i="33"/>
  <c r="AA32" i="36"/>
  <c r="S32" i="36"/>
  <c r="AZ437" i="3"/>
  <c r="AZ441" i="3"/>
  <c r="AZ490" i="3"/>
  <c r="BL14" i="3"/>
  <c r="AZ266" i="3"/>
  <c r="AC13" i="34"/>
  <c r="S19" i="39"/>
  <c r="F12" i="33"/>
  <c r="S12" i="33" s="1"/>
  <c r="F39" i="40"/>
  <c r="BA14" i="3"/>
  <c r="AZ367" i="3"/>
  <c r="AZ213" i="3"/>
  <c r="AZ234" i="3"/>
  <c r="AZ250" i="3"/>
  <c r="AZ281" i="3"/>
  <c r="AZ149" i="3"/>
  <c r="AZ165" i="3"/>
  <c r="AZ181" i="3"/>
  <c r="AZ197" i="3"/>
  <c r="AZ19" i="3"/>
  <c r="AZ26" i="3"/>
  <c r="S12" i="1"/>
  <c r="AR12" i="1" s="1"/>
  <c r="R12" i="1"/>
  <c r="B12" i="1"/>
  <c r="E12" i="1" s="1"/>
  <c r="S10" i="1"/>
  <c r="AQ10" i="1" s="1"/>
  <c r="R10" i="1"/>
  <c r="B10" i="1"/>
  <c r="E10" i="1" s="1"/>
  <c r="AZ80" i="3"/>
  <c r="AZ84" i="3"/>
  <c r="AZ88" i="3"/>
  <c r="AZ107" i="3"/>
  <c r="K12" i="1"/>
  <c r="M12" i="1" s="1"/>
  <c r="O12" i="1" s="1"/>
  <c r="P12" i="1" s="1"/>
  <c r="S13" i="1"/>
  <c r="AR13" i="1" s="1"/>
  <c r="R13" i="1"/>
  <c r="S11" i="1"/>
  <c r="AQ11" i="1" s="1"/>
  <c r="R11" i="1"/>
  <c r="S9" i="1"/>
  <c r="AR9" i="1" s="1"/>
  <c r="R9" i="1"/>
  <c r="J51" i="67"/>
  <c r="C42" i="1"/>
  <c r="H100" i="43"/>
  <c r="C30" i="66"/>
  <c r="E26" i="66"/>
  <c r="AC34" i="33"/>
  <c r="AA34" i="33"/>
  <c r="B41" i="1"/>
  <c r="S22" i="31"/>
  <c r="R22" i="31" s="1"/>
  <c r="B21" i="31" s="1"/>
  <c r="J100" i="43"/>
  <c r="AB37" i="40"/>
  <c r="S35" i="40"/>
  <c r="U35" i="40"/>
  <c r="AC36" i="40"/>
  <c r="AA32" i="40"/>
  <c r="S17" i="40"/>
  <c r="S23" i="40"/>
  <c r="AC17" i="40"/>
  <c r="AA19" i="40"/>
  <c r="S28" i="40"/>
  <c r="U21" i="40"/>
  <c r="AB19" i="40"/>
  <c r="W39" i="39"/>
  <c r="S43" i="39"/>
  <c r="U35" i="39"/>
  <c r="F32" i="39"/>
  <c r="F107" i="39"/>
  <c r="G107" i="39" s="1"/>
  <c r="U25" i="39"/>
  <c r="AB27" i="39"/>
  <c r="U31" i="39"/>
  <c r="S25" i="39"/>
  <c r="J21" i="39"/>
  <c r="F21" i="39"/>
  <c r="S21" i="39" s="1"/>
  <c r="G95" i="39"/>
  <c r="H21" i="39"/>
  <c r="U21" i="39" s="1"/>
  <c r="W19" i="39"/>
  <c r="U19" i="39"/>
  <c r="S17" i="39"/>
  <c r="AC15" i="39"/>
  <c r="S15" i="39"/>
  <c r="AB15" i="39"/>
  <c r="S9" i="39"/>
  <c r="AC13" i="39"/>
  <c r="S23" i="36"/>
  <c r="U13" i="36"/>
  <c r="AC27" i="36"/>
  <c r="U26" i="36"/>
  <c r="S33" i="36"/>
  <c r="S27" i="36"/>
  <c r="AA34" i="36"/>
  <c r="AC26" i="36"/>
  <c r="AA22" i="36"/>
  <c r="W14" i="36"/>
  <c r="U22" i="36"/>
  <c r="S16" i="36"/>
  <c r="U24" i="36"/>
  <c r="AB20" i="36"/>
  <c r="U16" i="36"/>
  <c r="S14" i="36"/>
  <c r="W10" i="36"/>
  <c r="S23" i="35"/>
  <c r="W24" i="35"/>
  <c r="AB13" i="35"/>
  <c r="U28" i="35"/>
  <c r="AB27" i="35"/>
  <c r="U36" i="35"/>
  <c r="AA33" i="35"/>
  <c r="AC30" i="35"/>
  <c r="S32" i="35"/>
  <c r="AA36" i="35"/>
  <c r="W32" i="35"/>
  <c r="AB16" i="35"/>
  <c r="U22" i="35"/>
  <c r="S20" i="35"/>
  <c r="S22" i="35"/>
  <c r="U14" i="35"/>
  <c r="AC10" i="35"/>
  <c r="AB10" i="35"/>
  <c r="AA11" i="35"/>
  <c r="S8" i="35"/>
  <c r="AC9" i="35"/>
  <c r="W9" i="35"/>
  <c r="W13" i="35"/>
  <c r="F9" i="35"/>
  <c r="H9" i="35"/>
  <c r="U9" i="35" s="1"/>
  <c r="J26" i="35"/>
  <c r="AC26" i="35" s="1"/>
  <c r="AB40" i="37"/>
  <c r="W27" i="37"/>
  <c r="S26" i="37"/>
  <c r="AC9" i="37"/>
  <c r="AC29" i="37"/>
  <c r="U29" i="37"/>
  <c r="S32" i="37"/>
  <c r="W30" i="37"/>
  <c r="S36" i="37"/>
  <c r="W38" i="37"/>
  <c r="AC35" i="37"/>
  <c r="W39" i="37"/>
  <c r="S30" i="37"/>
  <c r="S37" i="37"/>
  <c r="J17" i="37"/>
  <c r="W17" i="37" s="1"/>
  <c r="G73" i="37"/>
  <c r="F17" i="37"/>
  <c r="AA17" i="37" s="1"/>
  <c r="AB17" i="37"/>
  <c r="F75" i="37"/>
  <c r="F19" i="37"/>
  <c r="S19" i="37" s="1"/>
  <c r="F23" i="37"/>
  <c r="S23" i="37" s="1"/>
  <c r="U23" i="37"/>
  <c r="U15" i="37"/>
  <c r="U9" i="37"/>
  <c r="AA13" i="37"/>
  <c r="AA12" i="37"/>
  <c r="AA9" i="37"/>
  <c r="H10" i="37"/>
  <c r="U10" i="37" s="1"/>
  <c r="H60" i="37"/>
  <c r="F63" i="37"/>
  <c r="F11" i="37"/>
  <c r="S11" i="37" s="1"/>
  <c r="S27" i="34"/>
  <c r="AB8" i="34"/>
  <c r="AA33" i="34"/>
  <c r="AC39" i="34"/>
  <c r="AC42" i="34"/>
  <c r="U39" i="34"/>
  <c r="AA45" i="34"/>
  <c r="W34" i="34"/>
  <c r="U28" i="34"/>
  <c r="S17" i="34"/>
  <c r="AA29" i="34"/>
  <c r="S23" i="34"/>
  <c r="S13" i="34"/>
  <c r="H10" i="34"/>
  <c r="AB10" i="34" s="1"/>
  <c r="F11" i="34"/>
  <c r="S11" i="34" s="1"/>
  <c r="W42" i="33"/>
  <c r="S27" i="33"/>
  <c r="S32" i="33"/>
  <c r="AA29" i="33"/>
  <c r="AB29" i="33"/>
  <c r="W38" i="33"/>
  <c r="H41" i="33"/>
  <c r="F121" i="33"/>
  <c r="G121" i="33" s="1"/>
  <c r="H121" i="33" s="1"/>
  <c r="I121" i="33" s="1"/>
  <c r="J121" i="33" s="1"/>
  <c r="K121" i="33" s="1"/>
  <c r="L121" i="33" s="1"/>
  <c r="M121" i="33" s="1"/>
  <c r="U42" i="33"/>
  <c r="F36" i="33"/>
  <c r="S36" i="33" s="1"/>
  <c r="G111" i="33"/>
  <c r="J35" i="33"/>
  <c r="W35" i="33" s="1"/>
  <c r="S37" i="33"/>
  <c r="AA37" i="33"/>
  <c r="S39" i="33"/>
  <c r="J32" i="33"/>
  <c r="AC32" i="33" s="1"/>
  <c r="S46" i="33"/>
  <c r="W43" i="33"/>
  <c r="S43" i="33"/>
  <c r="F91" i="33"/>
  <c r="G91" i="33" s="1"/>
  <c r="H91" i="33" s="1"/>
  <c r="I91" i="33" s="1"/>
  <c r="J91" i="33" s="1"/>
  <c r="K91" i="33" s="1"/>
  <c r="L91" i="33" s="1"/>
  <c r="M91" i="33" s="1"/>
  <c r="H25" i="33"/>
  <c r="AB25" i="33" s="1"/>
  <c r="F25" i="33"/>
  <c r="J23" i="33"/>
  <c r="AC23" i="33" s="1"/>
  <c r="H23" i="33"/>
  <c r="F19" i="33"/>
  <c r="S19" i="33" s="1"/>
  <c r="W19" i="33"/>
  <c r="J17" i="33"/>
  <c r="S15" i="33"/>
  <c r="W15" i="33"/>
  <c r="U9" i="33"/>
  <c r="J10" i="33"/>
  <c r="AC10" i="33" s="1"/>
  <c r="H10" i="33"/>
  <c r="AA10" i="33"/>
  <c r="AC11" i="33"/>
  <c r="AB14" i="33"/>
  <c r="W43" i="21"/>
  <c r="W36" i="21"/>
  <c r="W41" i="21"/>
  <c r="AB39" i="21"/>
  <c r="AA43" i="21"/>
  <c r="S39" i="21"/>
  <c r="AA38" i="21"/>
  <c r="AA36" i="21"/>
  <c r="AC40" i="21"/>
  <c r="J15" i="21"/>
  <c r="W15" i="21" s="1"/>
  <c r="F23" i="21"/>
  <c r="S23" i="21" s="1"/>
  <c r="E85" i="21"/>
  <c r="F85" i="21" s="1"/>
  <c r="G85" i="21" s="1"/>
  <c r="AA14" i="21"/>
  <c r="AB8" i="21"/>
  <c r="S8" i="21"/>
  <c r="M3" i="43"/>
  <c r="N10" i="43"/>
  <c r="M1" i="43"/>
  <c r="M8" i="43"/>
  <c r="N8" i="43"/>
  <c r="N9" i="43"/>
  <c r="D120" i="9"/>
  <c r="C18" i="9"/>
  <c r="D18" i="9" s="1"/>
  <c r="F34" i="67"/>
  <c r="F62" i="67" s="1"/>
  <c r="M20" i="67"/>
  <c r="F34" i="15"/>
  <c r="F62" i="15"/>
  <c r="G13" i="3"/>
  <c r="BA13" i="3"/>
  <c r="AZ13" i="3" s="1"/>
  <c r="BL17" i="3"/>
  <c r="AZ17" i="3" s="1"/>
  <c r="BL13" i="3"/>
  <c r="J56" i="9"/>
  <c r="J57" i="9" s="1"/>
  <c r="J59" i="9" s="1"/>
  <c r="J61" i="9" s="1"/>
  <c r="A24" i="51"/>
  <c r="B18" i="72" s="1"/>
  <c r="E5" i="6"/>
  <c r="D9" i="11" s="1"/>
  <c r="C9" i="11" s="1"/>
  <c r="P10" i="1"/>
  <c r="E32" i="6"/>
  <c r="L19" i="6"/>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C6" i="43" s="1"/>
  <c r="M12" i="43"/>
  <c r="M4" i="43"/>
  <c r="B19" i="53"/>
  <c r="B37" i="72" s="1"/>
  <c r="C7" i="39"/>
  <c r="C68" i="39" s="1"/>
  <c r="C7" i="35"/>
  <c r="C48" i="35" s="1"/>
  <c r="D48" i="35" s="1"/>
  <c r="E48" i="35" s="1"/>
  <c r="F48" i="35" s="1"/>
  <c r="G48" i="35" s="1"/>
  <c r="C7" i="33"/>
  <c r="C58" i="33"/>
  <c r="D58" i="33" s="1"/>
  <c r="E58" i="33" s="1"/>
  <c r="F58" i="33" s="1"/>
  <c r="G58" i="33" s="1"/>
  <c r="H58" i="33" s="1"/>
  <c r="I58" i="33" s="1"/>
  <c r="J58" i="33" s="1"/>
  <c r="K58" i="33" s="1"/>
  <c r="L58" i="33" s="1"/>
  <c r="M58" i="33" s="1"/>
  <c r="N58" i="33" s="1"/>
  <c r="O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C94" i="9"/>
  <c r="C4" i="12"/>
  <c r="C92" i="9"/>
  <c r="H55" i="43"/>
  <c r="H51" i="43"/>
  <c r="H56" i="43"/>
  <c r="H76" i="43"/>
  <c r="H72" i="43"/>
  <c r="H77" i="43"/>
  <c r="L20" i="6"/>
  <c r="B6" i="1"/>
  <c r="E6" i="1" s="1"/>
  <c r="K11" i="1"/>
  <c r="M11" i="1" s="1"/>
  <c r="O11" i="1" s="1"/>
  <c r="AP6" i="1"/>
  <c r="B9" i="1"/>
  <c r="E9" i="1" s="1"/>
  <c r="G1" i="15"/>
  <c r="G1" i="69"/>
  <c r="G1" i="67"/>
  <c r="W23" i="40"/>
  <c r="U32" i="40"/>
  <c r="S37" i="40"/>
  <c r="AB28" i="40"/>
  <c r="W28" i="40"/>
  <c r="W34" i="40"/>
  <c r="W19" i="40"/>
  <c r="S36" i="40"/>
  <c r="W37" i="40"/>
  <c r="AC14" i="40"/>
  <c r="S33" i="40"/>
  <c r="AA15" i="40"/>
  <c r="U11" i="40"/>
  <c r="AB17" i="40"/>
  <c r="U8" i="40"/>
  <c r="S8" i="40"/>
  <c r="AC41" i="39"/>
  <c r="U42" i="39"/>
  <c r="AB23" i="39"/>
  <c r="U41" i="39"/>
  <c r="AB41" i="39"/>
  <c r="AC25" i="39"/>
  <c r="U13" i="39"/>
  <c r="AB13" i="39"/>
  <c r="AA13" i="39"/>
  <c r="S13" i="39"/>
  <c r="U43" i="39"/>
  <c r="AB43" i="39"/>
  <c r="AB11" i="39"/>
  <c r="U11" i="39"/>
  <c r="AA27" i="39"/>
  <c r="S27" i="39"/>
  <c r="W17" i="39"/>
  <c r="AC17" i="39"/>
  <c r="W31" i="39"/>
  <c r="AC31" i="39"/>
  <c r="S23" i="39"/>
  <c r="AA45" i="39"/>
  <c r="AB39" i="39"/>
  <c r="W34" i="39"/>
  <c r="S8" i="39"/>
  <c r="S20" i="36"/>
  <c r="S28" i="36"/>
  <c r="U32" i="36"/>
  <c r="W29" i="36"/>
  <c r="AC20" i="36"/>
  <c r="AB28" i="36"/>
  <c r="AA13" i="36"/>
  <c r="W9" i="36"/>
  <c r="W22" i="36"/>
  <c r="W23" i="36"/>
  <c r="S9" i="36"/>
  <c r="AB20" i="35"/>
  <c r="AC25" i="35"/>
  <c r="U25" i="35"/>
  <c r="S24" i="35"/>
  <c r="W33" i="35"/>
  <c r="U24" i="35"/>
  <c r="S35" i="35"/>
  <c r="W35" i="35"/>
  <c r="AA35" i="37"/>
  <c r="S27" i="37"/>
  <c r="W32" i="37"/>
  <c r="U36" i="37"/>
  <c r="S40" i="37"/>
  <c r="AB37" i="37"/>
  <c r="AC34" i="37"/>
  <c r="AB35" i="37"/>
  <c r="AA11" i="37"/>
  <c r="U19" i="37"/>
  <c r="AA8" i="37"/>
  <c r="U8" i="37"/>
  <c r="AB40" i="34"/>
  <c r="W19" i="34"/>
  <c r="AC45" i="34"/>
  <c r="AA31" i="34"/>
  <c r="AA30" i="34"/>
  <c r="AB45" i="34"/>
  <c r="AB47" i="34"/>
  <c r="AB36" i="34"/>
  <c r="W33" i="34"/>
  <c r="AC14" i="34"/>
  <c r="AC32" i="34"/>
  <c r="AC29" i="34"/>
  <c r="W46" i="34"/>
  <c r="AC46" i="34"/>
  <c r="S32" i="34"/>
  <c r="AA32" i="34"/>
  <c r="U30" i="34"/>
  <c r="AB30" i="34"/>
  <c r="S37" i="34"/>
  <c r="AA36" i="34"/>
  <c r="S36" i="34"/>
  <c r="AA8" i="34"/>
  <c r="S46" i="34"/>
  <c r="AA46" i="34"/>
  <c r="U32" i="34"/>
  <c r="AB32" i="34"/>
  <c r="U14" i="34"/>
  <c r="AB14" i="34"/>
  <c r="AC43" i="34"/>
  <c r="W23" i="34"/>
  <c r="U12" i="34"/>
  <c r="AB12" i="34"/>
  <c r="AB28" i="33"/>
  <c r="AC37" i="33"/>
  <c r="U39" i="33"/>
  <c r="U38" i="33"/>
  <c r="S33" i="33"/>
  <c r="U44" i="33"/>
  <c r="AB44" i="33"/>
  <c r="S30" i="33"/>
  <c r="AA30" i="33"/>
  <c r="AC14" i="33"/>
  <c r="W14" i="33"/>
  <c r="AC30" i="33"/>
  <c r="S31" i="33"/>
  <c r="AA31" i="33"/>
  <c r="W13" i="33"/>
  <c r="AC13" i="33"/>
  <c r="U15" i="33"/>
  <c r="S11" i="33"/>
  <c r="U37" i="33"/>
  <c r="AC28" i="33"/>
  <c r="S28" i="33"/>
  <c r="W8" i="33"/>
  <c r="AB42" i="21"/>
  <c r="U28" i="21"/>
  <c r="AA11" i="21"/>
  <c r="I101" i="21"/>
  <c r="J101" i="21" s="1"/>
  <c r="K101" i="21" s="1"/>
  <c r="L101" i="21" s="1"/>
  <c r="M101" i="21" s="1"/>
  <c r="F33" i="21"/>
  <c r="J33" i="21"/>
  <c r="W33" i="21" s="1"/>
  <c r="H33" i="21"/>
  <c r="AB33" i="21"/>
  <c r="F37" i="21"/>
  <c r="AA37" i="21"/>
  <c r="AA26" i="21"/>
  <c r="AB14" i="21"/>
  <c r="U40" i="21"/>
  <c r="AB31" i="21"/>
  <c r="U31" i="21"/>
  <c r="U13" i="21"/>
  <c r="W8" i="21"/>
  <c r="S35" i="21"/>
  <c r="AB37" i="21"/>
  <c r="J37" i="21"/>
  <c r="W37" i="21" s="1"/>
  <c r="H15" i="21"/>
  <c r="U15" i="21" s="1"/>
  <c r="J17" i="21"/>
  <c r="AC17" i="21" s="1"/>
  <c r="AC19" i="21"/>
  <c r="W39" i="21"/>
  <c r="AC14" i="21"/>
  <c r="S46" i="21"/>
  <c r="F29" i="21"/>
  <c r="S29" i="21" s="1"/>
  <c r="F13" i="21"/>
  <c r="AA13" i="21" s="1"/>
  <c r="AC38" i="21"/>
  <c r="H32" i="21"/>
  <c r="H9" i="21"/>
  <c r="U9" i="21" s="1"/>
  <c r="J9" i="21"/>
  <c r="J32" i="21"/>
  <c r="AC32" i="21" s="1"/>
  <c r="F32" i="21"/>
  <c r="AA31" i="21"/>
  <c r="U17" i="21"/>
  <c r="S9" i="21"/>
  <c r="K141" i="21"/>
  <c r="K144" i="21"/>
  <c r="K143" i="21"/>
  <c r="AB25" i="21"/>
  <c r="AB44" i="21"/>
  <c r="AA30" i="21"/>
  <c r="W42" i="21"/>
  <c r="F10" i="21"/>
  <c r="AA10" i="21" s="1"/>
  <c r="K145" i="21"/>
  <c r="W17" i="21"/>
  <c r="AA29" i="21"/>
  <c r="S27" i="21"/>
  <c r="S17" i="21"/>
  <c r="AA15" i="21"/>
  <c r="AC34" i="21"/>
  <c r="W10" i="21"/>
  <c r="W12" i="21"/>
  <c r="AB36" i="21"/>
  <c r="W30" i="40"/>
  <c r="C19" i="39"/>
  <c r="C15" i="40"/>
  <c r="C17" i="40"/>
  <c r="C23" i="40"/>
  <c r="C21" i="40"/>
  <c r="U30" i="40"/>
  <c r="B65" i="43"/>
  <c r="B49" i="43"/>
  <c r="B52" i="43"/>
  <c r="B56" i="43"/>
  <c r="B60" i="43"/>
  <c r="B63" i="43"/>
  <c r="D23" i="15"/>
  <c r="D22" i="15"/>
  <c r="J53" i="67"/>
  <c r="Q52" i="67" s="1"/>
  <c r="F30" i="68"/>
  <c r="C30" i="68" s="1"/>
  <c r="F30" i="11"/>
  <c r="C48" i="11" s="1"/>
  <c r="F28" i="67"/>
  <c r="C28" i="67" s="1"/>
  <c r="F31" i="12"/>
  <c r="F52" i="9"/>
  <c r="C31" i="12"/>
  <c r="M18" i="67"/>
  <c r="F32" i="67"/>
  <c r="F60" i="67" s="1"/>
  <c r="F30" i="69"/>
  <c r="C48" i="69" s="1"/>
  <c r="F32" i="15"/>
  <c r="F60" i="15" s="1"/>
  <c r="M18" i="15"/>
  <c r="F28" i="15"/>
  <c r="T11" i="1"/>
  <c r="AR11" i="1"/>
  <c r="C28" i="15"/>
  <c r="T13" i="1"/>
  <c r="C77" i="9"/>
  <c r="C74" i="9" s="1"/>
  <c r="C24" i="12"/>
  <c r="AA39" i="40"/>
  <c r="S39" i="40"/>
  <c r="AA12" i="33"/>
  <c r="D68" i="9"/>
  <c r="F54" i="9"/>
  <c r="J32" i="39"/>
  <c r="H107" i="39"/>
  <c r="I107" i="39" s="1"/>
  <c r="J107" i="39" s="1"/>
  <c r="K107" i="39" s="1"/>
  <c r="L107" i="39" s="1"/>
  <c r="M107" i="39" s="1"/>
  <c r="H32" i="39"/>
  <c r="AA32" i="39"/>
  <c r="S32" i="39"/>
  <c r="AB21" i="39"/>
  <c r="AA21" i="39"/>
  <c r="AC21" i="39"/>
  <c r="W21" i="39"/>
  <c r="AB9" i="35"/>
  <c r="AA9" i="35"/>
  <c r="S9" i="35"/>
  <c r="W26" i="35"/>
  <c r="S17" i="37"/>
  <c r="J19" i="37"/>
  <c r="G75" i="37"/>
  <c r="AA19" i="37"/>
  <c r="J23" i="37"/>
  <c r="W23" i="37" s="1"/>
  <c r="J10" i="37"/>
  <c r="AC10" i="37" s="1"/>
  <c r="I60" i="37"/>
  <c r="G63" i="37"/>
  <c r="H63" i="37" s="1"/>
  <c r="I63" i="37" s="1"/>
  <c r="J63" i="37" s="1"/>
  <c r="K63" i="37" s="1"/>
  <c r="L63" i="37" s="1"/>
  <c r="M63" i="37" s="1"/>
  <c r="H11" i="37"/>
  <c r="AB10" i="37"/>
  <c r="H11" i="34"/>
  <c r="AB11" i="34" s="1"/>
  <c r="J10" i="34"/>
  <c r="AC10" i="34" s="1"/>
  <c r="AB41" i="33"/>
  <c r="U41" i="33"/>
  <c r="AC35" i="33"/>
  <c r="H111" i="33"/>
  <c r="I111" i="33"/>
  <c r="J111" i="33" s="1"/>
  <c r="K111" i="33" s="1"/>
  <c r="L111" i="33" s="1"/>
  <c r="M111" i="33" s="1"/>
  <c r="J36" i="33"/>
  <c r="H36" i="33"/>
  <c r="AB36" i="33" s="1"/>
  <c r="AA36" i="33"/>
  <c r="W32" i="33"/>
  <c r="U25" i="33"/>
  <c r="S25" i="33"/>
  <c r="AA25" i="33"/>
  <c r="G87" i="33"/>
  <c r="H87" i="33" s="1"/>
  <c r="I87" i="33" s="1"/>
  <c r="J87" i="33" s="1"/>
  <c r="K87" i="33" s="1"/>
  <c r="L87" i="33" s="1"/>
  <c r="M87" i="33" s="1"/>
  <c r="J25" i="33"/>
  <c r="AC25" i="33" s="1"/>
  <c r="AB23" i="33"/>
  <c r="U23" i="33"/>
  <c r="F23" i="33"/>
  <c r="G85" i="33"/>
  <c r="W23" i="33"/>
  <c r="H19" i="33"/>
  <c r="U19" i="33" s="1"/>
  <c r="G81" i="33"/>
  <c r="G79" i="33"/>
  <c r="H17" i="33"/>
  <c r="F17" i="33"/>
  <c r="S17" i="33" s="1"/>
  <c r="W17" i="33"/>
  <c r="AC17" i="33"/>
  <c r="U10" i="33"/>
  <c r="AB10" i="33"/>
  <c r="W10" i="33"/>
  <c r="U33" i="21"/>
  <c r="S37" i="21"/>
  <c r="AA23" i="21"/>
  <c r="J23" i="21"/>
  <c r="W23" i="21" s="1"/>
  <c r="H23" i="21"/>
  <c r="S13" i="21"/>
  <c r="D6" i="52"/>
  <c r="D121" i="9"/>
  <c r="D7" i="52" s="1"/>
  <c r="K120" i="9"/>
  <c r="E52" i="37"/>
  <c r="F52" i="37" s="1"/>
  <c r="E58" i="21"/>
  <c r="F58" i="21"/>
  <c r="G58" i="21" s="1"/>
  <c r="H58" i="21" s="1"/>
  <c r="I58" i="21" s="1"/>
  <c r="J58" i="21" s="1"/>
  <c r="K58" i="21" s="1"/>
  <c r="L58" i="21" s="1"/>
  <c r="M58" i="21" s="1"/>
  <c r="N58" i="21" s="1"/>
  <c r="O58" i="21" s="1"/>
  <c r="C65" i="40"/>
  <c r="AP7" i="1"/>
  <c r="AC33" i="21"/>
  <c r="S33" i="21"/>
  <c r="AA33" i="21"/>
  <c r="W32" i="21"/>
  <c r="AB9" i="21"/>
  <c r="AA32" i="21"/>
  <c r="S32" i="21"/>
  <c r="W9" i="21"/>
  <c r="AC9" i="21"/>
  <c r="AB32" i="21"/>
  <c r="U32" i="21"/>
  <c r="A18" i="62"/>
  <c r="B64" i="72" s="1"/>
  <c r="U32" i="39"/>
  <c r="AB32" i="39"/>
  <c r="AC32" i="39"/>
  <c r="W32" i="39"/>
  <c r="W19" i="37"/>
  <c r="AC19" i="37"/>
  <c r="AC23" i="37"/>
  <c r="AB11" i="37"/>
  <c r="U11" i="37"/>
  <c r="J11" i="37"/>
  <c r="W10" i="37"/>
  <c r="U11" i="34"/>
  <c r="W10" i="34"/>
  <c r="J11" i="34"/>
  <c r="AC11" i="34" s="1"/>
  <c r="AC36" i="33"/>
  <c r="W36" i="33"/>
  <c r="U36" i="33"/>
  <c r="W25" i="33"/>
  <c r="AA23" i="33"/>
  <c r="S23" i="33"/>
  <c r="AB19" i="33"/>
  <c r="AA17" i="33"/>
  <c r="U17" i="33"/>
  <c r="AB17" i="33"/>
  <c r="U23" i="21"/>
  <c r="AB23" i="21"/>
  <c r="AC23" i="21"/>
  <c r="G39" i="43"/>
  <c r="AC11" i="37"/>
  <c r="W11" i="37"/>
  <c r="C13" i="12"/>
  <c r="F34" i="11"/>
  <c r="C36" i="11" s="1"/>
  <c r="F11" i="12"/>
  <c r="C23" i="12" s="1"/>
  <c r="AG6" i="1"/>
  <c r="J7" i="33"/>
  <c r="H7" i="33"/>
  <c r="AB7" i="33" s="1"/>
  <c r="H112" i="9"/>
  <c r="D21" i="53" s="1"/>
  <c r="B39" i="72"/>
  <c r="H111" i="9"/>
  <c r="D126" i="9"/>
  <c r="D19" i="53"/>
  <c r="D59" i="9"/>
  <c r="M55" i="9" s="1"/>
  <c r="B38" i="72"/>
  <c r="D20" i="53"/>
  <c r="B40" i="72" s="1"/>
  <c r="AD3" i="71"/>
  <c r="P22" i="43"/>
  <c r="F31" i="15"/>
  <c r="F31" i="67"/>
  <c r="F34" i="68"/>
  <c r="C76" i="15"/>
  <c r="D2" i="34"/>
  <c r="B10" i="76"/>
  <c r="E11" i="76"/>
  <c r="E10" i="76"/>
  <c r="F16" i="15"/>
  <c r="F27" i="68"/>
  <c r="F26" i="67"/>
  <c r="D34" i="9"/>
  <c r="E2" i="68"/>
  <c r="B12" i="76"/>
  <c r="F20" i="31"/>
  <c r="C36" i="68"/>
  <c r="E2" i="69"/>
  <c r="F6" i="67"/>
  <c r="D2" i="35"/>
  <c r="E12" i="76"/>
  <c r="E8" i="76"/>
  <c r="F9" i="67"/>
  <c r="F37" i="67"/>
  <c r="F13" i="67"/>
  <c r="M23" i="15"/>
  <c r="F41" i="67"/>
  <c r="M28" i="15"/>
  <c r="B9" i="76"/>
  <c r="D35" i="9"/>
  <c r="B8" i="76"/>
  <c r="D2" i="33"/>
  <c r="L48" i="67"/>
  <c r="B11" i="76"/>
  <c r="M26" i="15"/>
  <c r="C76" i="67"/>
  <c r="M27" i="15"/>
  <c r="M29" i="67"/>
  <c r="AO12" i="1"/>
  <c r="F9" i="15"/>
  <c r="D2" i="36"/>
  <c r="M24" i="15"/>
  <c r="M9" i="67"/>
  <c r="E13" i="76"/>
  <c r="E9" i="76"/>
  <c r="D2" i="21"/>
  <c r="E7" i="76"/>
  <c r="M22" i="67"/>
  <c r="F38" i="67"/>
  <c r="F16" i="67"/>
  <c r="F8" i="67"/>
  <c r="J15" i="67"/>
  <c r="F26" i="15"/>
  <c r="M6" i="15"/>
  <c r="AO11" i="1"/>
  <c r="AO13" i="1"/>
  <c r="D2" i="37"/>
  <c r="AO10" i="1"/>
  <c r="AO9" i="1"/>
  <c r="M8" i="15"/>
  <c r="F36" i="15"/>
  <c r="B7" i="76"/>
  <c r="M6" i="67"/>
  <c r="M21" i="67"/>
  <c r="B13" i="76"/>
  <c r="I4" i="6" l="1"/>
  <c r="G3" i="43" s="1"/>
  <c r="W35" i="34"/>
  <c r="AC35" i="34"/>
  <c r="AC28" i="37"/>
  <c r="W28" i="37"/>
  <c r="U27" i="40"/>
  <c r="AB27" i="40"/>
  <c r="E63" i="40"/>
  <c r="D65" i="40"/>
  <c r="AZ576" i="3"/>
  <c r="G28" i="6"/>
  <c r="U7" i="33"/>
  <c r="BQ5" i="3"/>
  <c r="BL493" i="3"/>
  <c r="AZ493" i="3" s="1"/>
  <c r="AZ533" i="3"/>
  <c r="AZ575" i="3"/>
  <c r="AZ528" i="3"/>
  <c r="AZ580" i="3"/>
  <c r="AB32" i="33"/>
  <c r="U32" i="33"/>
  <c r="AA42" i="21"/>
  <c r="S42" i="21"/>
  <c r="B70" i="43"/>
  <c r="C15" i="39"/>
  <c r="B74" i="43"/>
  <c r="C27" i="39"/>
  <c r="AB8" i="33"/>
  <c r="U8" i="33"/>
  <c r="AA9" i="33"/>
  <c r="S9" i="33"/>
  <c r="U12" i="33"/>
  <c r="AB12" i="33"/>
  <c r="AB35" i="33"/>
  <c r="U35" i="33"/>
  <c r="E126" i="34"/>
  <c r="F126" i="34" s="1"/>
  <c r="G126" i="34" s="1"/>
  <c r="J44" i="34"/>
  <c r="E120" i="34"/>
  <c r="F120" i="34" s="1"/>
  <c r="G120" i="34" s="1"/>
  <c r="H120" i="34" s="1"/>
  <c r="I120" i="34" s="1"/>
  <c r="J120" i="34" s="1"/>
  <c r="K120" i="34" s="1"/>
  <c r="L120" i="34" s="1"/>
  <c r="M120" i="34" s="1"/>
  <c r="F41" i="34"/>
  <c r="S41" i="34" s="1"/>
  <c r="J41" i="34"/>
  <c r="W16" i="36"/>
  <c r="AC16" i="36"/>
  <c r="AC24" i="36"/>
  <c r="W24" i="36"/>
  <c r="J25" i="36"/>
  <c r="H25" i="36"/>
  <c r="J14" i="39"/>
  <c r="F14" i="39"/>
  <c r="J31" i="40"/>
  <c r="F31" i="40"/>
  <c r="BL584" i="3"/>
  <c r="AZ584" i="3" s="1"/>
  <c r="BA582" i="3"/>
  <c r="AZ582" i="3" s="1"/>
  <c r="BL578" i="3"/>
  <c r="BA578" i="3"/>
  <c r="AZ578" i="3" s="1"/>
  <c r="BL576" i="3"/>
  <c r="BA574" i="3"/>
  <c r="AZ574" i="3" s="1"/>
  <c r="BL570" i="3"/>
  <c r="BA570" i="3"/>
  <c r="AZ570" i="3" s="1"/>
  <c r="BA554" i="3"/>
  <c r="AZ554" i="3" s="1"/>
  <c r="BL552" i="3"/>
  <c r="BA552" i="3"/>
  <c r="BL550" i="3"/>
  <c r="BA550" i="3"/>
  <c r="BL548" i="3"/>
  <c r="BA548" i="3"/>
  <c r="BL546" i="3"/>
  <c r="AZ546" i="3" s="1"/>
  <c r="BA544" i="3"/>
  <c r="AZ544" i="3" s="1"/>
  <c r="BA542" i="3"/>
  <c r="AZ542" i="3" s="1"/>
  <c r="BL540" i="3"/>
  <c r="BA540" i="3"/>
  <c r="AZ540" i="3" s="1"/>
  <c r="BL538" i="3"/>
  <c r="BA538" i="3"/>
  <c r="AZ538" i="3" s="1"/>
  <c r="BA533" i="3"/>
  <c r="BL529" i="3"/>
  <c r="AZ529" i="3" s="1"/>
  <c r="BA529" i="3"/>
  <c r="BK5" i="3"/>
  <c r="BG5" i="3"/>
  <c r="BS5" i="3"/>
  <c r="BD5" i="3"/>
  <c r="F7" i="33"/>
  <c r="S7" i="33" s="1"/>
  <c r="F7" i="21"/>
  <c r="S7" i="21" s="1"/>
  <c r="F1" i="67"/>
  <c r="S10" i="21"/>
  <c r="AB15" i="21"/>
  <c r="AC37" i="21"/>
  <c r="AA19" i="33"/>
  <c r="J27" i="33"/>
  <c r="U10" i="34"/>
  <c r="AA23" i="37"/>
  <c r="AC17" i="37"/>
  <c r="C30" i="69"/>
  <c r="C48" i="68"/>
  <c r="T9" i="1"/>
  <c r="AQ9" i="1"/>
  <c r="AQ13" i="1"/>
  <c r="B54" i="43"/>
  <c r="S28" i="21"/>
  <c r="AC26" i="21"/>
  <c r="W31" i="21"/>
  <c r="W25" i="21"/>
  <c r="AC45" i="21"/>
  <c r="W13" i="21"/>
  <c r="S19" i="21"/>
  <c r="H45" i="21"/>
  <c r="W30" i="21"/>
  <c r="AC15" i="21"/>
  <c r="AB46" i="21"/>
  <c r="S45" i="21"/>
  <c r="W9" i="33"/>
  <c r="AB34" i="33"/>
  <c r="W46" i="33"/>
  <c r="W40" i="34"/>
  <c r="U19" i="34"/>
  <c r="AA29" i="37"/>
  <c r="AA31" i="37"/>
  <c r="S33" i="37"/>
  <c r="U38" i="37"/>
  <c r="W36" i="37"/>
  <c r="AA16" i="35"/>
  <c r="AA30" i="35"/>
  <c r="U38" i="39"/>
  <c r="AA39" i="39"/>
  <c r="U15" i="40"/>
  <c r="S13" i="40"/>
  <c r="W27" i="40"/>
  <c r="AR10" i="1"/>
  <c r="AQ12" i="1"/>
  <c r="U29" i="34"/>
  <c r="AC11" i="21"/>
  <c r="H27" i="33"/>
  <c r="S42" i="33"/>
  <c r="AA35" i="33"/>
  <c r="AB35" i="34"/>
  <c r="U43" i="34"/>
  <c r="AC13" i="37"/>
  <c r="AC15" i="37"/>
  <c r="U32" i="37"/>
  <c r="AB31" i="37"/>
  <c r="H26" i="35"/>
  <c r="F26" i="35"/>
  <c r="AA10" i="35"/>
  <c r="AC20" i="35"/>
  <c r="S28" i="35"/>
  <c r="U32" i="35"/>
  <c r="U29" i="35"/>
  <c r="AA25" i="35"/>
  <c r="U10" i="36"/>
  <c r="U23" i="36"/>
  <c r="S24" i="36"/>
  <c r="AB14" i="36"/>
  <c r="S29" i="36"/>
  <c r="AA26" i="36"/>
  <c r="AB27" i="36"/>
  <c r="S37" i="39"/>
  <c r="W42" i="39"/>
  <c r="S30" i="40"/>
  <c r="AC15" i="40"/>
  <c r="F53" i="9"/>
  <c r="F32" i="83"/>
  <c r="F60" i="83" s="1"/>
  <c r="F28" i="83"/>
  <c r="C28" i="83" s="1"/>
  <c r="M18" i="83"/>
  <c r="F52" i="82"/>
  <c r="D68" i="81"/>
  <c r="F54" i="81"/>
  <c r="F53" i="81"/>
  <c r="F32" i="80"/>
  <c r="F60" i="80" s="1"/>
  <c r="F28" i="80"/>
  <c r="C28" i="80" s="1"/>
  <c r="D68" i="82"/>
  <c r="F54" i="82"/>
  <c r="F53" i="82"/>
  <c r="F52" i="81"/>
  <c r="M18" i="80"/>
  <c r="F30" i="79"/>
  <c r="C74" i="82"/>
  <c r="C77" i="82"/>
  <c r="C77" i="81"/>
  <c r="C74" i="81" s="1"/>
  <c r="H12" i="39"/>
  <c r="AA47" i="34"/>
  <c r="U30" i="33"/>
  <c r="F27" i="40"/>
  <c r="W29" i="35"/>
  <c r="U13" i="37"/>
  <c r="AZ389" i="3"/>
  <c r="AZ305" i="3"/>
  <c r="AZ375" i="3"/>
  <c r="H37" i="39"/>
  <c r="F12" i="39"/>
  <c r="U35" i="35"/>
  <c r="H31" i="40"/>
  <c r="H41" i="34"/>
  <c r="AB27" i="37"/>
  <c r="AB43" i="33"/>
  <c r="U43" i="33"/>
  <c r="BL527" i="3"/>
  <c r="AZ527" i="3" s="1"/>
  <c r="BL543" i="3"/>
  <c r="AZ543" i="3" s="1"/>
  <c r="AZ567" i="3"/>
  <c r="AZ587" i="3"/>
  <c r="AZ564" i="3"/>
  <c r="U36" i="39"/>
  <c r="AB26" i="33"/>
  <c r="AC14" i="37"/>
  <c r="W14" i="37"/>
  <c r="H13" i="40"/>
  <c r="AB12" i="40"/>
  <c r="U12" i="40"/>
  <c r="H14" i="39"/>
  <c r="F38" i="37"/>
  <c r="F25" i="36"/>
  <c r="U13" i="34"/>
  <c r="AB13" i="34"/>
  <c r="F44" i="34"/>
  <c r="AA44" i="34" s="1"/>
  <c r="AB33" i="37"/>
  <c r="U33" i="37"/>
  <c r="S38" i="33"/>
  <c r="AC12" i="34"/>
  <c r="S34" i="39"/>
  <c r="U40" i="40"/>
  <c r="U34" i="35"/>
  <c r="J36" i="39"/>
  <c r="AC35" i="39"/>
  <c r="W35" i="39"/>
  <c r="AB12" i="21"/>
  <c r="U12" i="21"/>
  <c r="AB26" i="21"/>
  <c r="U26" i="21"/>
  <c r="AB43" i="21"/>
  <c r="U43" i="21"/>
  <c r="BL587" i="3"/>
  <c r="BA585" i="3"/>
  <c r="AZ585" i="3" s="1"/>
  <c r="J27" i="21"/>
  <c r="H27" i="21"/>
  <c r="J29" i="21"/>
  <c r="H29" i="21"/>
  <c r="J44" i="21"/>
  <c r="F44" i="21"/>
  <c r="AC33" i="33"/>
  <c r="W33" i="33"/>
  <c r="T12" i="1"/>
  <c r="AZ314" i="3"/>
  <c r="AZ380" i="3"/>
  <c r="AA15" i="37"/>
  <c r="S15" i="37"/>
  <c r="AB31" i="34"/>
  <c r="U31" i="34"/>
  <c r="AC44" i="33"/>
  <c r="W44" i="33"/>
  <c r="U30" i="21"/>
  <c r="AB30" i="21"/>
  <c r="U37" i="34"/>
  <c r="AB37" i="34"/>
  <c r="AC15" i="34"/>
  <c r="W15" i="34"/>
  <c r="AC33" i="37"/>
  <c r="W33" i="37"/>
  <c r="AB36" i="40"/>
  <c r="U36" i="40"/>
  <c r="E78" i="34"/>
  <c r="F78" i="34" s="1"/>
  <c r="G78" i="34" s="1"/>
  <c r="F15" i="34"/>
  <c r="H15" i="34"/>
  <c r="E82" i="34"/>
  <c r="F82" i="34" s="1"/>
  <c r="G82" i="34" s="1"/>
  <c r="F19" i="34"/>
  <c r="E107" i="34"/>
  <c r="F107" i="34" s="1"/>
  <c r="G107" i="34" s="1"/>
  <c r="H107" i="34" s="1"/>
  <c r="I107" i="34" s="1"/>
  <c r="J107" i="34" s="1"/>
  <c r="K107" i="34" s="1"/>
  <c r="L107" i="34" s="1"/>
  <c r="M107" i="34" s="1"/>
  <c r="F35" i="34"/>
  <c r="AB8" i="35"/>
  <c r="U8" i="35"/>
  <c r="U23" i="35"/>
  <c r="AB23" i="35"/>
  <c r="J12" i="36"/>
  <c r="H12" i="36"/>
  <c r="F12" i="36"/>
  <c r="S31" i="36"/>
  <c r="AA31" i="36"/>
  <c r="F28" i="37"/>
  <c r="H28" i="37"/>
  <c r="AB9" i="40"/>
  <c r="U9" i="40"/>
  <c r="AB38" i="40"/>
  <c r="U38" i="40"/>
  <c r="F38" i="40"/>
  <c r="J38" i="40"/>
  <c r="AB31" i="35"/>
  <c r="U31" i="35"/>
  <c r="BL581" i="3"/>
  <c r="BA581" i="3"/>
  <c r="AZ581" i="3" s="1"/>
  <c r="BL579" i="3"/>
  <c r="AZ579" i="3" s="1"/>
  <c r="BA577" i="3"/>
  <c r="AZ577" i="3" s="1"/>
  <c r="BA573" i="3"/>
  <c r="BL571" i="3"/>
  <c r="AZ571" i="3" s="1"/>
  <c r="BA555" i="3"/>
  <c r="AZ555" i="3" s="1"/>
  <c r="BL551" i="3"/>
  <c r="BA551" i="3"/>
  <c r="BL549" i="3"/>
  <c r="AZ549" i="3" s="1"/>
  <c r="BA549" i="3"/>
  <c r="BL545" i="3"/>
  <c r="AZ545" i="3" s="1"/>
  <c r="BA545" i="3"/>
  <c r="BA541" i="3"/>
  <c r="AZ541" i="3" s="1"/>
  <c r="BL537" i="3"/>
  <c r="BA537" i="3"/>
  <c r="BA536" i="3"/>
  <c r="AZ536" i="3" s="1"/>
  <c r="BA534" i="3"/>
  <c r="AZ534" i="3" s="1"/>
  <c r="BA532" i="3"/>
  <c r="AZ532" i="3" s="1"/>
  <c r="BL530" i="3"/>
  <c r="BA530" i="3"/>
  <c r="BN5" i="3"/>
  <c r="G29" i="6" s="1"/>
  <c r="BC5" i="3"/>
  <c r="G527" i="3"/>
  <c r="H5" i="3"/>
  <c r="BM5" i="3"/>
  <c r="F29" i="6" s="1"/>
  <c r="BH5" i="3"/>
  <c r="BA526" i="3"/>
  <c r="AZ526" i="3" s="1"/>
  <c r="BB5" i="3"/>
  <c r="AZ361" i="3"/>
  <c r="AZ390" i="3"/>
  <c r="AZ347" i="3"/>
  <c r="AZ344" i="3"/>
  <c r="AZ313" i="3"/>
  <c r="AZ378" i="3"/>
  <c r="AZ327" i="3"/>
  <c r="AZ503" i="3"/>
  <c r="AZ523" i="3"/>
  <c r="BL531" i="3"/>
  <c r="AZ531" i="3" s="1"/>
  <c r="BL539" i="3"/>
  <c r="AZ539" i="3" s="1"/>
  <c r="BL547" i="3"/>
  <c r="AZ547" i="3" s="1"/>
  <c r="BL553" i="3"/>
  <c r="AZ553" i="3" s="1"/>
  <c r="BL573" i="3"/>
  <c r="AZ573" i="3" s="1"/>
  <c r="BL583" i="3"/>
  <c r="AZ583" i="3" s="1"/>
  <c r="AZ566" i="3"/>
  <c r="BL586" i="3"/>
  <c r="AZ586" i="3" s="1"/>
  <c r="J12" i="35"/>
  <c r="F12" i="35"/>
  <c r="J39" i="40"/>
  <c r="H39" i="40"/>
  <c r="M20" i="15"/>
  <c r="F34" i="83"/>
  <c r="F62" i="83" s="1"/>
  <c r="F34" i="80"/>
  <c r="F62" i="80" s="1"/>
  <c r="M20" i="80"/>
  <c r="M20" i="83"/>
  <c r="G22" i="79"/>
  <c r="G41" i="79"/>
  <c r="AZ442" i="3"/>
  <c r="AZ446" i="3"/>
  <c r="AZ481" i="3"/>
  <c r="AZ487" i="3"/>
  <c r="G574" i="3"/>
  <c r="G558" i="3"/>
  <c r="G542" i="3"/>
  <c r="C5" i="11"/>
  <c r="D78" i="9"/>
  <c r="D93" i="82"/>
  <c r="D78" i="81"/>
  <c r="D78" i="82"/>
  <c r="D93" i="8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BA316" i="3"/>
  <c r="AZ316" i="3" s="1"/>
  <c r="BA319" i="3"/>
  <c r="AZ319" i="3" s="1"/>
  <c r="BA323" i="3"/>
  <c r="AZ323" i="3" s="1"/>
  <c r="BL328" i="3"/>
  <c r="AZ328" i="3" s="1"/>
  <c r="BL333" i="3"/>
  <c r="AZ333" i="3" s="1"/>
  <c r="G339" i="3"/>
  <c r="BL340" i="3"/>
  <c r="AZ340" i="3" s="1"/>
  <c r="G347" i="3"/>
  <c r="BL350" i="3"/>
  <c r="AZ350" i="3" s="1"/>
  <c r="BA353" i="3"/>
  <c r="AZ353" i="3" s="1"/>
  <c r="BA354" i="3"/>
  <c r="AZ354" i="3" s="1"/>
  <c r="G364" i="3"/>
  <c r="BA366" i="3"/>
  <c r="AZ366" i="3" s="1"/>
  <c r="BL368" i="3"/>
  <c r="AZ368" i="3" s="1"/>
  <c r="G374" i="3"/>
  <c r="BL375" i="3"/>
  <c r="G382" i="3"/>
  <c r="BA384" i="3"/>
  <c r="AZ384" i="3" s="1"/>
  <c r="BL385" i="3"/>
  <c r="G387" i="3"/>
  <c r="BA395" i="3"/>
  <c r="AZ395" i="3" s="1"/>
  <c r="BA396" i="3"/>
  <c r="AZ396" i="3" s="1"/>
  <c r="AZ397" i="3"/>
  <c r="AZ228" i="3"/>
  <c r="AZ260" i="3"/>
  <c r="G397" i="3"/>
  <c r="BL397" i="3"/>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G263" i="3"/>
  <c r="G264" i="3"/>
  <c r="BL264" i="3"/>
  <c r="AZ264" i="3" s="1"/>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C13" i="71"/>
  <c r="D12" i="71"/>
  <c r="G1" i="80"/>
  <c r="G1" i="83"/>
  <c r="G1" i="79"/>
  <c r="E10" i="71"/>
  <c r="AA3" i="71"/>
  <c r="AA8" i="71"/>
  <c r="AA10" i="71"/>
  <c r="X7" i="71"/>
  <c r="X10" i="71"/>
  <c r="X11" i="71"/>
  <c r="X12" i="71"/>
  <c r="Y21" i="71"/>
  <c r="Z21" i="71" s="1"/>
  <c r="Y19" i="71"/>
  <c r="Z19" i="71" s="1"/>
  <c r="AC12" i="43"/>
  <c r="AC10" i="43"/>
  <c r="AG12" i="43"/>
  <c r="AG10" i="43"/>
  <c r="G93" i="3"/>
  <c r="G94" i="3"/>
  <c r="G95" i="3"/>
  <c r="BL95" i="3"/>
  <c r="BA96" i="3"/>
  <c r="AZ96" i="3" s="1"/>
  <c r="BA97" i="3"/>
  <c r="AZ97" i="3" s="1"/>
  <c r="G100" i="3"/>
  <c r="BL100" i="3"/>
  <c r="BA101" i="3"/>
  <c r="AZ101" i="3" s="1"/>
  <c r="BA102" i="3"/>
  <c r="AZ102" i="3" s="1"/>
  <c r="G105" i="3"/>
  <c r="G106" i="3"/>
  <c r="BL106" i="3"/>
  <c r="AZ106" i="3" s="1"/>
  <c r="BA108" i="3"/>
  <c r="AZ108" i="3" s="1"/>
  <c r="BA109" i="3"/>
  <c r="AZ109" i="3" s="1"/>
  <c r="BA110" i="3"/>
  <c r="AZ110" i="3" s="1"/>
  <c r="BA111" i="3"/>
  <c r="AZ111" i="3" s="1"/>
  <c r="M47" i="81"/>
  <c r="C7" i="77"/>
  <c r="C59" i="77" s="1"/>
  <c r="M47" i="82"/>
  <c r="J51" i="80"/>
  <c r="J51" i="83"/>
  <c r="K100" i="43"/>
  <c r="I15" i="66"/>
  <c r="D1" i="66" s="1"/>
  <c r="E10" i="66" s="1"/>
  <c r="S21" i="37"/>
  <c r="U18" i="36"/>
  <c r="AA9" i="71"/>
  <c r="AB8" i="71"/>
  <c r="C25" i="71"/>
  <c r="T10" i="71"/>
  <c r="C9" i="71"/>
  <c r="AB19" i="71"/>
  <c r="AA17" i="71"/>
  <c r="Y13" i="71"/>
  <c r="Z13" i="71" s="1"/>
  <c r="AB13" i="71"/>
  <c r="Y14" i="71"/>
  <c r="Z14" i="71" s="1"/>
  <c r="AB14" i="71"/>
  <c r="Y15" i="71"/>
  <c r="Z15" i="71" s="1"/>
  <c r="F18" i="71"/>
  <c r="V18" i="71" s="1"/>
  <c r="Y16" i="71"/>
  <c r="Z16" i="71" s="1"/>
  <c r="AB16" i="71"/>
  <c r="AB18" i="71"/>
  <c r="B20" i="71"/>
  <c r="B21" i="71" s="1"/>
  <c r="B22" i="71" s="1"/>
  <c r="S22" i="71" s="1"/>
  <c r="X18" i="71"/>
  <c r="B37" i="71"/>
  <c r="B38" i="71" s="1"/>
  <c r="S38" i="71" s="1"/>
  <c r="E37" i="71"/>
  <c r="E38" i="71" s="1"/>
  <c r="U38" i="71" s="1"/>
  <c r="B41" i="71"/>
  <c r="B42" i="71" s="1"/>
  <c r="S42" i="71" s="1"/>
  <c r="T50" i="71"/>
  <c r="D50" i="71"/>
  <c r="T58" i="71"/>
  <c r="C57" i="71"/>
  <c r="D58" i="71"/>
  <c r="AE10" i="43"/>
  <c r="Z12" i="43"/>
  <c r="Z10" i="43"/>
  <c r="AD12" i="43"/>
  <c r="AD10" i="43"/>
  <c r="AH12" i="43"/>
  <c r="AH10" i="43"/>
  <c r="AB7" i="71"/>
  <c r="AB9" i="71"/>
  <c r="Y18" i="71"/>
  <c r="Z18" i="71" s="1"/>
  <c r="F21" i="71"/>
  <c r="F22" i="71" s="1"/>
  <c r="V22" i="71" s="1"/>
  <c r="Y20" i="71"/>
  <c r="Z20" i="71" s="1"/>
  <c r="B29" i="71"/>
  <c r="B30" i="71" s="1"/>
  <c r="S30" i="71" s="1"/>
  <c r="M56" i="9"/>
  <c r="M56" i="82"/>
  <c r="J56" i="82"/>
  <c r="J57" i="82" s="1"/>
  <c r="J59" i="82" s="1"/>
  <c r="J61" i="82" s="1"/>
  <c r="N56" i="81"/>
  <c r="K56" i="81"/>
  <c r="N56" i="82"/>
  <c r="K56" i="82"/>
  <c r="M56" i="81"/>
  <c r="J56" i="81"/>
  <c r="J57" i="81" s="1"/>
  <c r="J59" i="81" s="1"/>
  <c r="J61" i="81" s="1"/>
  <c r="B5" i="71"/>
  <c r="B9" i="49"/>
  <c r="E4" i="4" s="1"/>
  <c r="B5" i="62" s="1"/>
  <c r="B73" i="72" s="1"/>
  <c r="D19" i="12"/>
  <c r="C19" i="12" s="1"/>
  <c r="B16" i="74"/>
  <c r="D39" i="43"/>
  <c r="H39" i="43" s="1"/>
  <c r="I39" i="43" s="1"/>
  <c r="E21" i="6"/>
  <c r="H38" i="43"/>
  <c r="E20" i="6"/>
  <c r="K7" i="1" s="1"/>
  <c r="L27" i="6"/>
  <c r="E15" i="6"/>
  <c r="E19" i="6"/>
  <c r="P61" i="15"/>
  <c r="C51" i="10"/>
  <c r="A118" i="82"/>
  <c r="A2" i="82"/>
  <c r="A118" i="81"/>
  <c r="A2" i="81"/>
  <c r="J67" i="43"/>
  <c r="J64" i="43"/>
  <c r="D60" i="43"/>
  <c r="E59" i="43" s="1"/>
  <c r="B57" i="43" s="1"/>
  <c r="C24" i="43" s="1"/>
  <c r="J59" i="43"/>
  <c r="C30" i="11"/>
  <c r="D22" i="67"/>
  <c r="C29" i="68"/>
  <c r="D27" i="68" s="1"/>
  <c r="E5" i="49"/>
  <c r="B10" i="49"/>
  <c r="C16" i="43"/>
  <c r="C5" i="43" s="1"/>
  <c r="AA41" i="34"/>
  <c r="AA39" i="34"/>
  <c r="U44" i="34"/>
  <c r="S44" i="34"/>
  <c r="AA40" i="34"/>
  <c r="U38" i="34"/>
  <c r="AB33" i="34"/>
  <c r="H88" i="34"/>
  <c r="I88" i="34" s="1"/>
  <c r="J88" i="34" s="1"/>
  <c r="K88" i="34" s="1"/>
  <c r="L88" i="34" s="1"/>
  <c r="M88" i="34" s="1"/>
  <c r="F25" i="34"/>
  <c r="J25" i="34"/>
  <c r="H25" i="34"/>
  <c r="E4" i="49"/>
  <c r="E8" i="49"/>
  <c r="E7" i="49"/>
  <c r="B67" i="43"/>
  <c r="C25" i="39"/>
  <c r="C29" i="39"/>
  <c r="B66" i="43"/>
  <c r="AB23" i="34"/>
  <c r="AC21" i="34"/>
  <c r="S21" i="34"/>
  <c r="U21" i="34"/>
  <c r="AB17" i="34"/>
  <c r="AC17" i="34"/>
  <c r="B4" i="49"/>
  <c r="E10" i="49"/>
  <c r="E16" i="49"/>
  <c r="E6" i="49"/>
  <c r="B16" i="49"/>
  <c r="C4" i="4" s="1"/>
  <c r="B4" i="62" s="1"/>
  <c r="B71" i="72" s="1"/>
  <c r="S43" i="34"/>
  <c r="AC36" i="34"/>
  <c r="S28" i="34"/>
  <c r="U27" i="34"/>
  <c r="W11" i="34"/>
  <c r="S10" i="34"/>
  <c r="AA11" i="34"/>
  <c r="S9" i="34"/>
  <c r="W8" i="34"/>
  <c r="C47" i="68"/>
  <c r="D45" i="68" s="1"/>
  <c r="G5" i="3"/>
  <c r="B3" i="3" s="1"/>
  <c r="C36" i="69"/>
  <c r="AZ14" i="3"/>
  <c r="M7" i="1"/>
  <c r="O7" i="1" s="1"/>
  <c r="P7" i="1" s="1"/>
  <c r="D9" i="69"/>
  <c r="C9" i="69" s="1"/>
  <c r="P11" i="1"/>
  <c r="E13" i="6"/>
  <c r="B113" i="43"/>
  <c r="G101" i="43"/>
  <c r="J101" i="43"/>
  <c r="L101" i="43"/>
  <c r="D101" i="43"/>
  <c r="M101" i="43"/>
  <c r="I101" i="43"/>
  <c r="E101" i="43"/>
  <c r="AJ11" i="43"/>
  <c r="AJ13" i="43" s="1"/>
  <c r="AF11" i="43"/>
  <c r="AF13" i="43" s="1"/>
  <c r="AB11" i="43"/>
  <c r="AB13" i="43" s="1"/>
  <c r="Z7" i="43"/>
  <c r="AI11" i="43"/>
  <c r="AI13" i="43" s="1"/>
  <c r="AE11" i="43"/>
  <c r="AE13" i="43" s="1"/>
  <c r="AA11" i="43"/>
  <c r="AA13" i="43" s="1"/>
  <c r="F22" i="43"/>
  <c r="K101" i="43"/>
  <c r="F101" i="43"/>
  <c r="N101" i="43"/>
  <c r="E22" i="43"/>
  <c r="C101" i="43"/>
  <c r="N104" i="46"/>
  <c r="H22" i="43"/>
  <c r="H101" i="43"/>
  <c r="G22" i="43"/>
  <c r="AH11" i="43"/>
  <c r="AH13" i="43" s="1"/>
  <c r="AD11" i="43"/>
  <c r="AD13" i="43" s="1"/>
  <c r="Z11" i="43"/>
  <c r="Z13" i="43" s="1"/>
  <c r="AG11" i="43"/>
  <c r="AG13" i="43" s="1"/>
  <c r="AC11" i="43"/>
  <c r="AC13" i="43" s="1"/>
  <c r="Y11" i="43"/>
  <c r="Y13" i="43" s="1"/>
  <c r="J22" i="43"/>
  <c r="H62" i="43"/>
  <c r="H61" i="43"/>
  <c r="H60" i="43"/>
  <c r="H59" i="43"/>
  <c r="H67" i="43"/>
  <c r="H66" i="43"/>
  <c r="H65" i="43"/>
  <c r="H64" i="43"/>
  <c r="H63" i="43"/>
  <c r="E11" i="49"/>
  <c r="B8" i="49"/>
  <c r="B6" i="49"/>
  <c r="E9" i="49"/>
  <c r="E21" i="49"/>
  <c r="B11" i="49"/>
  <c r="B13" i="49"/>
  <c r="B5" i="49"/>
  <c r="E22" i="49"/>
  <c r="B14" i="49"/>
  <c r="B7" i="49"/>
  <c r="B22" i="49"/>
  <c r="K56" i="9"/>
  <c r="C70" i="39"/>
  <c r="D68" i="39"/>
  <c r="AA7" i="33"/>
  <c r="R48" i="33" s="1"/>
  <c r="B20" i="31"/>
  <c r="J20" i="67"/>
  <c r="F69" i="67"/>
  <c r="C27" i="15"/>
  <c r="F64" i="15"/>
  <c r="I54" i="67"/>
  <c r="J57" i="67"/>
  <c r="J55" i="67" s="1"/>
  <c r="J58" i="67" s="1"/>
  <c r="Q50" i="67" s="1"/>
  <c r="L56" i="67"/>
  <c r="C27" i="67"/>
  <c r="F66" i="67"/>
  <c r="Q71" i="67"/>
  <c r="F65" i="67"/>
  <c r="Q71" i="15"/>
  <c r="F51" i="67"/>
  <c r="B10" i="70"/>
  <c r="B11" i="70"/>
  <c r="B12" i="70"/>
  <c r="B13" i="70"/>
  <c r="B9" i="70"/>
  <c r="I14" i="74"/>
  <c r="B8" i="74" s="1"/>
  <c r="D127" i="9"/>
  <c r="D13" i="52" s="1"/>
  <c r="D12" i="52"/>
  <c r="P21" i="43"/>
  <c r="P23" i="43"/>
  <c r="B71" i="39" s="1"/>
  <c r="P24" i="43"/>
  <c r="B66" i="40" s="1"/>
  <c r="P25" i="43"/>
  <c r="W7" i="33"/>
  <c r="AC7" i="33"/>
  <c r="V48" i="33" s="1"/>
  <c r="I48" i="33" s="1"/>
  <c r="AA7" i="21"/>
  <c r="R48" i="21" s="1"/>
  <c r="G59" i="34"/>
  <c r="O14" i="1"/>
  <c r="P14" i="1" s="1"/>
  <c r="P6" i="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H7" i="21"/>
  <c r="J7" i="21"/>
  <c r="J7" i="37"/>
  <c r="F7" i="35"/>
  <c r="H7" i="37"/>
  <c r="F7" i="36"/>
  <c r="O9" i="1"/>
  <c r="E29" i="6"/>
  <c r="AZ557" i="3"/>
  <c r="W27" i="21"/>
  <c r="AC27" i="21"/>
  <c r="D9" i="53"/>
  <c r="B25" i="72" s="1"/>
  <c r="B24" i="72"/>
  <c r="S12" i="21"/>
  <c r="AA12" i="21"/>
  <c r="W9" i="34"/>
  <c r="AC9" i="34"/>
  <c r="D117" i="43"/>
  <c r="E117" i="43" s="1"/>
  <c r="F117" i="43" s="1"/>
  <c r="G117" i="43" s="1"/>
  <c r="H117" i="43" s="1"/>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s="1"/>
  <c r="Y3" i="71"/>
  <c r="Z3" i="71" s="1"/>
  <c r="Y7" i="71"/>
  <c r="Z7" i="71" s="1"/>
  <c r="Y8" i="71"/>
  <c r="Z8" i="71" s="1"/>
  <c r="Y9" i="71"/>
  <c r="Z9" i="71" s="1"/>
  <c r="Y10" i="71"/>
  <c r="Z10" i="71" s="1"/>
  <c r="F12" i="71"/>
  <c r="F13" i="71" s="1"/>
  <c r="F14" i="71" s="1"/>
  <c r="V14" i="71" s="1"/>
  <c r="AA12" i="71"/>
  <c r="AA13" i="71"/>
  <c r="AA15" i="71"/>
  <c r="AA14" i="71"/>
  <c r="P50" i="71"/>
  <c r="E49" i="71"/>
  <c r="Y6" i="71"/>
  <c r="Z6" i="71" s="1"/>
  <c r="AB6" i="71"/>
  <c r="V50" i="71"/>
  <c r="F49" i="71"/>
  <c r="AA5" i="71"/>
  <c r="X6" i="71"/>
  <c r="AB5" i="71"/>
  <c r="J1" i="73"/>
  <c r="AA6" i="71"/>
  <c r="Y5" i="71"/>
  <c r="Z5" i="71" s="1"/>
  <c r="X5" i="71"/>
  <c r="F59" i="67"/>
  <c r="M17" i="15"/>
  <c r="M17" i="67"/>
  <c r="F59" i="15"/>
  <c r="F6" i="15"/>
  <c r="F36" i="67"/>
  <c r="F42" i="15"/>
  <c r="F5" i="73"/>
  <c r="D9" i="68"/>
  <c r="F6" i="73"/>
  <c r="M24" i="67"/>
  <c r="M26" i="67"/>
  <c r="F43" i="67"/>
  <c r="M22" i="15"/>
  <c r="F40" i="15"/>
  <c r="F13" i="15"/>
  <c r="F3" i="73"/>
  <c r="F43" i="15"/>
  <c r="C16" i="15"/>
  <c r="M27" i="67"/>
  <c r="F40" i="67"/>
  <c r="J15" i="15"/>
  <c r="F42" i="67"/>
  <c r="F38" i="15"/>
  <c r="F37" i="15"/>
  <c r="F7" i="73"/>
  <c r="F7" i="15"/>
  <c r="L47" i="15"/>
  <c r="M9" i="15"/>
  <c r="L48" i="15"/>
  <c r="F35" i="67"/>
  <c r="L47" i="67"/>
  <c r="M8" i="67"/>
  <c r="F4" i="73"/>
  <c r="M28" i="67"/>
  <c r="F8" i="15"/>
  <c r="M23" i="67"/>
  <c r="F7" i="67"/>
  <c r="M29" i="15"/>
  <c r="I54" i="15" l="1"/>
  <c r="J57" i="15"/>
  <c r="J55" i="15" s="1"/>
  <c r="J58" i="15" s="1"/>
  <c r="Q50" i="15" s="1"/>
  <c r="J53" i="15"/>
  <c r="Q52" i="15" s="1"/>
  <c r="L56" i="15"/>
  <c r="F71" i="67"/>
  <c r="F68" i="67"/>
  <c r="F51" i="15"/>
  <c r="F50" i="67"/>
  <c r="M7" i="67"/>
  <c r="C6" i="67"/>
  <c r="N59" i="15"/>
  <c r="L59" i="15"/>
  <c r="Q61" i="15" s="1"/>
  <c r="L58" i="15"/>
  <c r="Q73" i="15" s="1"/>
  <c r="M59" i="15"/>
  <c r="F65" i="15"/>
  <c r="N59" i="67"/>
  <c r="L58" i="67"/>
  <c r="Q60" i="67" s="1"/>
  <c r="M59" i="67"/>
  <c r="L59" i="67"/>
  <c r="Q61" i="67" s="1"/>
  <c r="F66" i="15"/>
  <c r="F68" i="15"/>
  <c r="F64" i="67"/>
  <c r="C34" i="67"/>
  <c r="F63" i="67"/>
  <c r="C62" i="67" s="1"/>
  <c r="F70" i="67"/>
  <c r="AZ30" i="3"/>
  <c r="BA5" i="3"/>
  <c r="E27" i="6" s="1"/>
  <c r="BL5" i="3"/>
  <c r="W39" i="40"/>
  <c r="AC39" i="40"/>
  <c r="W12" i="35"/>
  <c r="AC12" i="35"/>
  <c r="AC38" i="40"/>
  <c r="W38" i="40"/>
  <c r="U28" i="37"/>
  <c r="AB28" i="37"/>
  <c r="AA12" i="36"/>
  <c r="S12" i="36"/>
  <c r="W12" i="36"/>
  <c r="AC12" i="36"/>
  <c r="AA15" i="34"/>
  <c r="S15" i="34"/>
  <c r="AA44" i="21"/>
  <c r="S44" i="21"/>
  <c r="U29" i="21"/>
  <c r="AB29" i="21"/>
  <c r="AB27" i="21"/>
  <c r="U27" i="21"/>
  <c r="AC36" i="39"/>
  <c r="W36" i="39"/>
  <c r="S38" i="37"/>
  <c r="AA38" i="37"/>
  <c r="U13" i="40"/>
  <c r="AB13" i="40"/>
  <c r="U31" i="40"/>
  <c r="AB31" i="40"/>
  <c r="S12" i="39"/>
  <c r="AA12" i="39"/>
  <c r="S27" i="40"/>
  <c r="AA27" i="40"/>
  <c r="C48" i="79"/>
  <c r="C30" i="79"/>
  <c r="U26" i="35"/>
  <c r="AB26" i="35"/>
  <c r="W27" i="33"/>
  <c r="AC27" i="33"/>
  <c r="AA31" i="40"/>
  <c r="S31" i="40"/>
  <c r="S14" i="39"/>
  <c r="AA14" i="39"/>
  <c r="AB25" i="36"/>
  <c r="U25" i="36"/>
  <c r="AC41" i="34"/>
  <c r="W41" i="34"/>
  <c r="F28" i="6"/>
  <c r="G30" i="6"/>
  <c r="G31" i="6" s="1"/>
  <c r="E65" i="40"/>
  <c r="F63" i="40"/>
  <c r="H7" i="35"/>
  <c r="H7" i="36"/>
  <c r="AB7" i="36" s="1"/>
  <c r="T36" i="36" s="1"/>
  <c r="G36" i="36" s="1"/>
  <c r="F7" i="37"/>
  <c r="J7" i="36"/>
  <c r="AC7" i="36" s="1"/>
  <c r="V36" i="36" s="1"/>
  <c r="I36" i="36" s="1"/>
  <c r="J7" i="35"/>
  <c r="D1" i="43"/>
  <c r="C56" i="71"/>
  <c r="D56" i="71" s="1"/>
  <c r="D57" i="71"/>
  <c r="C8" i="71"/>
  <c r="D8" i="71" s="1"/>
  <c r="D9" i="71"/>
  <c r="D25" i="71"/>
  <c r="C26" i="71"/>
  <c r="D59" i="77"/>
  <c r="E59" i="77" s="1"/>
  <c r="F59" i="77" s="1"/>
  <c r="G59" i="77" s="1"/>
  <c r="H59" i="77" s="1"/>
  <c r="I59" i="77" s="1"/>
  <c r="J59" i="77" s="1"/>
  <c r="K59" i="77" s="1"/>
  <c r="L59" i="77" s="1"/>
  <c r="M59" i="77" s="1"/>
  <c r="N59" i="77" s="1"/>
  <c r="O59" i="77" s="1"/>
  <c r="H7" i="77"/>
  <c r="E9" i="71"/>
  <c r="E8" i="71" s="1"/>
  <c r="V10" i="71"/>
  <c r="D13" i="71"/>
  <c r="C14" i="71"/>
  <c r="AZ462" i="3"/>
  <c r="AZ406" i="3"/>
  <c r="AZ5" i="3" s="1"/>
  <c r="U39" i="40"/>
  <c r="AB39" i="40"/>
  <c r="S12" i="35"/>
  <c r="AA12" i="35"/>
  <c r="E12" i="6"/>
  <c r="E8" i="6"/>
  <c r="E14" i="6"/>
  <c r="E10" i="6"/>
  <c r="E11" i="6"/>
  <c r="AZ530" i="3"/>
  <c r="AZ537" i="3"/>
  <c r="AZ551" i="3"/>
  <c r="AA38" i="40"/>
  <c r="S38" i="40"/>
  <c r="AA28" i="37"/>
  <c r="S28" i="37"/>
  <c r="U12" i="36"/>
  <c r="AB12" i="36"/>
  <c r="AA35" i="34"/>
  <c r="S35" i="34"/>
  <c r="S19" i="34"/>
  <c r="AA19" i="34"/>
  <c r="AB15" i="34"/>
  <c r="U15" i="34"/>
  <c r="AC44" i="21"/>
  <c r="W44" i="21"/>
  <c r="AC29" i="21"/>
  <c r="W29" i="21"/>
  <c r="S25" i="36"/>
  <c r="AA25" i="36"/>
  <c r="AB14" i="39"/>
  <c r="U14" i="39"/>
  <c r="U41" i="34"/>
  <c r="AB41" i="34"/>
  <c r="AB37" i="39"/>
  <c r="U37" i="39"/>
  <c r="U12" i="39"/>
  <c r="AB12" i="39"/>
  <c r="AA26" i="35"/>
  <c r="S26" i="35"/>
  <c r="AB27" i="33"/>
  <c r="U27" i="33"/>
  <c r="U45" i="21"/>
  <c r="AB45" i="21"/>
  <c r="AZ548" i="3"/>
  <c r="AZ550" i="3"/>
  <c r="AZ552" i="3"/>
  <c r="AC31" i="40"/>
  <c r="W31" i="40"/>
  <c r="AC14" i="39"/>
  <c r="W14" i="39"/>
  <c r="W25" i="36"/>
  <c r="AC25" i="36"/>
  <c r="W44" i="34"/>
  <c r="AC44" i="34"/>
  <c r="K8" i="1"/>
  <c r="M18" i="81"/>
  <c r="B118" i="81" s="1"/>
  <c r="F71" i="15"/>
  <c r="C6" i="15"/>
  <c r="M7" i="15"/>
  <c r="J6" i="15" s="1"/>
  <c r="F50" i="15"/>
  <c r="E16" i="6"/>
  <c r="M18" i="82"/>
  <c r="B118" i="82" s="1"/>
  <c r="K6" i="1"/>
  <c r="E60" i="40"/>
  <c r="E65" i="39"/>
  <c r="O8" i="1"/>
  <c r="P8" i="1" s="1"/>
  <c r="F1" i="15"/>
  <c r="C49" i="67"/>
  <c r="C9" i="68"/>
  <c r="AB25" i="34"/>
  <c r="U25" i="34"/>
  <c r="S25" i="34"/>
  <c r="AA25" i="34"/>
  <c r="AC25" i="34"/>
  <c r="W25" i="34"/>
  <c r="K4" i="4"/>
  <c r="B46" i="48" s="1"/>
  <c r="B4" i="7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D22" i="43"/>
  <c r="E58" i="40"/>
  <c r="E63" i="39"/>
  <c r="H107" i="43"/>
  <c r="H106" i="43"/>
  <c r="H105" i="43"/>
  <c r="H109" i="43"/>
  <c r="H102" i="43"/>
  <c r="H103" i="43"/>
  <c r="H104"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7" i="43"/>
  <c r="G104" i="43"/>
  <c r="G109" i="43"/>
  <c r="G102" i="43"/>
  <c r="G103" i="43"/>
  <c r="G106" i="43"/>
  <c r="C104" i="43"/>
  <c r="C106" i="43"/>
  <c r="C107" i="43"/>
  <c r="C103" i="43"/>
  <c r="C102" i="43"/>
  <c r="C109" i="43"/>
  <c r="C105" i="43"/>
  <c r="N102" i="43"/>
  <c r="N105" i="43"/>
  <c r="N107" i="43"/>
  <c r="N103" i="43"/>
  <c r="N106" i="43"/>
  <c r="N104" i="43"/>
  <c r="N109" i="43"/>
  <c r="K103" i="43"/>
  <c r="K102" i="43"/>
  <c r="K106" i="43"/>
  <c r="K107" i="43"/>
  <c r="K104" i="43"/>
  <c r="K105" i="43"/>
  <c r="K109" i="43"/>
  <c r="I104" i="43"/>
  <c r="I107" i="43"/>
  <c r="I105" i="43"/>
  <c r="I109" i="43"/>
  <c r="I102" i="43"/>
  <c r="I106" i="43"/>
  <c r="I103" i="43"/>
  <c r="D105" i="43"/>
  <c r="D106" i="43"/>
  <c r="D102" i="43"/>
  <c r="D109" i="43"/>
  <c r="D103" i="43"/>
  <c r="D104" i="43"/>
  <c r="D107"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70" i="39"/>
  <c r="E68" i="39"/>
  <c r="E48" i="33"/>
  <c r="R49" i="33"/>
  <c r="I1" i="73"/>
  <c r="B39" i="1" s="1"/>
  <c r="E48" i="71"/>
  <c r="P49" i="71"/>
  <c r="W36" i="35"/>
  <c r="AC36" i="35"/>
  <c r="AB7" i="37"/>
  <c r="T42" i="37" s="1"/>
  <c r="G42" i="37" s="1"/>
  <c r="U7" i="37"/>
  <c r="AB7" i="35"/>
  <c r="T38" i="35" s="1"/>
  <c r="G38" i="35" s="1"/>
  <c r="U7" i="35"/>
  <c r="U7" i="36"/>
  <c r="S7" i="37"/>
  <c r="AA7" i="37"/>
  <c r="R42" i="37" s="1"/>
  <c r="W7" i="36"/>
  <c r="AC7" i="35"/>
  <c r="V38" i="35" s="1"/>
  <c r="I38" i="35" s="1"/>
  <c r="W7" i="35"/>
  <c r="H59" i="34"/>
  <c r="Q60" i="15"/>
  <c r="Q74" i="67"/>
  <c r="Q49" i="71"/>
  <c r="F48" i="71"/>
  <c r="S10" i="71"/>
  <c r="B9" i="71"/>
  <c r="B8" i="71" s="1"/>
  <c r="D17" i="71"/>
  <c r="C18" i="71"/>
  <c r="AA25" i="37"/>
  <c r="S25" i="37"/>
  <c r="U9" i="34"/>
  <c r="AB9" i="34"/>
  <c r="K15" i="1"/>
  <c r="P9" i="1"/>
  <c r="P16" i="1" s="1"/>
  <c r="C11" i="12" s="1"/>
  <c r="S7" i="36"/>
  <c r="AA7" i="36"/>
  <c r="R36" i="36" s="1"/>
  <c r="S7" i="35"/>
  <c r="AA7" i="35"/>
  <c r="R38" i="35" s="1"/>
  <c r="AC7" i="37"/>
  <c r="V42" i="37" s="1"/>
  <c r="I42" i="37" s="1"/>
  <c r="W7" i="37"/>
  <c r="W7" i="21"/>
  <c r="AC7" i="21"/>
  <c r="V48" i="21" s="1"/>
  <c r="I48" i="21" s="1"/>
  <c r="U7" i="21"/>
  <c r="AB7" i="21"/>
  <c r="T48" i="21" s="1"/>
  <c r="G48" i="21" s="1"/>
  <c r="R49" i="21"/>
  <c r="E48" i="21"/>
  <c r="I52" i="33"/>
  <c r="J52" i="33" s="1"/>
  <c r="I53" i="33"/>
  <c r="J53" i="33" s="1"/>
  <c r="G53" i="33"/>
  <c r="H53" i="33" s="1"/>
  <c r="J6" i="67"/>
  <c r="Q74" i="15"/>
  <c r="Q73" i="67"/>
  <c r="C49" i="15"/>
  <c r="F9" i="80"/>
  <c r="F37" i="80"/>
  <c r="F42" i="80"/>
  <c r="M24" i="83"/>
  <c r="F16" i="83"/>
  <c r="M26" i="83"/>
  <c r="M29" i="83"/>
  <c r="D5" i="73"/>
  <c r="M29" i="80"/>
  <c r="C16" i="67"/>
  <c r="M24" i="80"/>
  <c r="M6" i="80"/>
  <c r="F6" i="80"/>
  <c r="M27" i="83"/>
  <c r="F9" i="83"/>
  <c r="M22" i="83"/>
  <c r="C14" i="67"/>
  <c r="J15" i="80"/>
  <c r="M8" i="80"/>
  <c r="M28" i="80"/>
  <c r="L48" i="83"/>
  <c r="M23" i="83"/>
  <c r="M9" i="83"/>
  <c r="F43" i="83"/>
  <c r="F43" i="80"/>
  <c r="D6" i="73"/>
  <c r="F27" i="79"/>
  <c r="M27" i="80"/>
  <c r="F16" i="80"/>
  <c r="F26" i="80"/>
  <c r="F42" i="83"/>
  <c r="M6" i="83"/>
  <c r="M28" i="83"/>
  <c r="C36" i="79"/>
  <c r="F13" i="80"/>
  <c r="F36" i="80"/>
  <c r="M9" i="80"/>
  <c r="F36" i="83"/>
  <c r="L47" i="83"/>
  <c r="F8" i="83"/>
  <c r="D4" i="73"/>
  <c r="F7" i="80"/>
  <c r="D7" i="73"/>
  <c r="C76" i="80"/>
  <c r="F38" i="80"/>
  <c r="M26" i="80"/>
  <c r="C76" i="83"/>
  <c r="F26" i="83"/>
  <c r="F37" i="83"/>
  <c r="AE7" i="1"/>
  <c r="D9" i="79"/>
  <c r="L47" i="80"/>
  <c r="M23" i="80"/>
  <c r="M22" i="80"/>
  <c r="F38" i="83"/>
  <c r="F40" i="83"/>
  <c r="F6" i="83"/>
  <c r="D3" i="73"/>
  <c r="F7" i="83"/>
  <c r="C17" i="67"/>
  <c r="F8" i="80"/>
  <c r="F40" i="80"/>
  <c r="L48" i="80"/>
  <c r="J15" i="83"/>
  <c r="M8" i="83"/>
  <c r="F13" i="83"/>
  <c r="F65" i="83" l="1"/>
  <c r="C27" i="83"/>
  <c r="Q71" i="83"/>
  <c r="C27" i="80"/>
  <c r="L56" i="80"/>
  <c r="J53" i="80"/>
  <c r="I54" i="80"/>
  <c r="J57" i="80"/>
  <c r="J55" i="80" s="1"/>
  <c r="J58" i="80" s="1"/>
  <c r="Q50" i="80" s="1"/>
  <c r="F68" i="80"/>
  <c r="F66" i="80"/>
  <c r="F51" i="80"/>
  <c r="Q71" i="80"/>
  <c r="C47" i="79"/>
  <c r="D45" i="79" s="1"/>
  <c r="C29" i="79"/>
  <c r="D27" i="79" s="1"/>
  <c r="F51" i="83"/>
  <c r="F68" i="83"/>
  <c r="N59" i="83"/>
  <c r="L58" i="83"/>
  <c r="L59" i="83"/>
  <c r="M59" i="83"/>
  <c r="F66" i="83"/>
  <c r="F64" i="83"/>
  <c r="L56" i="83"/>
  <c r="J53" i="83"/>
  <c r="I54" i="83"/>
  <c r="J57" i="83"/>
  <c r="J55" i="83" s="1"/>
  <c r="J58" i="83" s="1"/>
  <c r="Q50" i="83" s="1"/>
  <c r="F64" i="80"/>
  <c r="F65" i="80"/>
  <c r="N59" i="80"/>
  <c r="L58" i="80"/>
  <c r="L59" i="80"/>
  <c r="M59" i="80"/>
  <c r="C9" i="79"/>
  <c r="C15" i="67"/>
  <c r="C18" i="67"/>
  <c r="F27" i="6"/>
  <c r="E51" i="40"/>
  <c r="E56" i="39"/>
  <c r="T14" i="71"/>
  <c r="D14" i="71"/>
  <c r="AB7" i="77"/>
  <c r="T49" i="77" s="1"/>
  <c r="G49" i="77" s="1"/>
  <c r="U7" i="77"/>
  <c r="T26" i="71"/>
  <c r="D26" i="71"/>
  <c r="F65" i="40"/>
  <c r="G63" i="40"/>
  <c r="E61" i="39"/>
  <c r="E56" i="40"/>
  <c r="E64" i="39"/>
  <c r="E59" i="40"/>
  <c r="E57" i="40"/>
  <c r="E62" i="39"/>
  <c r="F7" i="77"/>
  <c r="J7" i="77"/>
  <c r="E28" i="6"/>
  <c r="F30" i="6"/>
  <c r="F31" i="6" s="1"/>
  <c r="F71" i="80"/>
  <c r="M7" i="80"/>
  <c r="J6" i="80" s="1"/>
  <c r="C6" i="80"/>
  <c r="F50" i="80"/>
  <c r="M8" i="1"/>
  <c r="M7" i="83"/>
  <c r="J6" i="83" s="1"/>
  <c r="C6" i="83"/>
  <c r="F50" i="83"/>
  <c r="F71" i="83"/>
  <c r="M6" i="1"/>
  <c r="G16" i="1"/>
  <c r="H16" i="1"/>
  <c r="Q16" i="1"/>
  <c r="F11" i="83"/>
  <c r="M11" i="83"/>
  <c r="F11" i="80"/>
  <c r="M11" i="80"/>
  <c r="AC6" i="3"/>
  <c r="H6" i="3"/>
  <c r="C115" i="43"/>
  <c r="D113" i="43" s="1"/>
  <c r="S3" i="43"/>
  <c r="C23" i="43"/>
  <c r="C21" i="43" s="1"/>
  <c r="S2" i="43"/>
  <c r="S5" i="43"/>
  <c r="S6" i="43"/>
  <c r="S7" i="43"/>
  <c r="S4" i="43"/>
  <c r="C49" i="33"/>
  <c r="C48" i="33"/>
  <c r="F68" i="39"/>
  <c r="E70" i="39"/>
  <c r="E52" i="33"/>
  <c r="F52" i="33" s="1"/>
  <c r="E53" i="33"/>
  <c r="F53" i="33" s="1"/>
  <c r="E20" i="43"/>
  <c r="K1" i="73"/>
  <c r="C15" i="12"/>
  <c r="C12" i="12"/>
  <c r="C48" i="21"/>
  <c r="C49" i="21"/>
  <c r="G52" i="21"/>
  <c r="H52" i="21" s="1"/>
  <c r="G53" i="21"/>
  <c r="H53" i="21" s="1"/>
  <c r="I53" i="21"/>
  <c r="J53" i="21" s="1"/>
  <c r="I52" i="21"/>
  <c r="J52" i="21" s="1"/>
  <c r="E38" i="35"/>
  <c r="R39" i="35"/>
  <c r="R37" i="36"/>
  <c r="E36" i="36"/>
  <c r="T18" i="71"/>
  <c r="D18" i="71"/>
  <c r="M20" i="43" s="1"/>
  <c r="C19" i="43" s="1"/>
  <c r="Q48" i="71"/>
  <c r="Q47" i="71"/>
  <c r="I59" i="34"/>
  <c r="I41" i="36"/>
  <c r="J41" i="36" s="1"/>
  <c r="I40" i="36"/>
  <c r="J40" i="36" s="1"/>
  <c r="E42" i="37"/>
  <c r="I47" i="37" s="1"/>
  <c r="J47" i="37" s="1"/>
  <c r="R43" i="37"/>
  <c r="G42" i="35"/>
  <c r="H42" i="35" s="1"/>
  <c r="G43" i="35"/>
  <c r="H43" i="35" s="1"/>
  <c r="G46" i="37"/>
  <c r="H46" i="37" s="1"/>
  <c r="G47" i="37"/>
  <c r="H47" i="37" s="1"/>
  <c r="P48" i="71"/>
  <c r="P47" i="71"/>
  <c r="M11" i="15"/>
  <c r="J10" i="15" s="1"/>
  <c r="J5" i="15" s="1"/>
  <c r="F11" i="67"/>
  <c r="M11" i="67"/>
  <c r="J10" i="67" s="1"/>
  <c r="J5" i="67" s="1"/>
  <c r="F11" i="15"/>
  <c r="E52" i="21"/>
  <c r="F52" i="21" s="1"/>
  <c r="E53" i="21"/>
  <c r="F53" i="21" s="1"/>
  <c r="I46" i="37"/>
  <c r="J46" i="37" s="1"/>
  <c r="AY6" i="3"/>
  <c r="E3" i="6"/>
  <c r="I42" i="35"/>
  <c r="J42" i="35" s="1"/>
  <c r="I43" i="35"/>
  <c r="J43" i="35" s="1"/>
  <c r="G40" i="36"/>
  <c r="H40" i="36" s="1"/>
  <c r="G41" i="36"/>
  <c r="H41" i="36" s="1"/>
  <c r="F41" i="15"/>
  <c r="C16" i="83"/>
  <c r="G1" i="73"/>
  <c r="C16" i="80"/>
  <c r="C49" i="83" l="1"/>
  <c r="C49" i="80"/>
  <c r="C19" i="67"/>
  <c r="C20" i="67" s="1"/>
  <c r="C26" i="67" s="1"/>
  <c r="E66" i="39"/>
  <c r="J10" i="83"/>
  <c r="J5" i="83" s="1"/>
  <c r="J26" i="83" s="1"/>
  <c r="W7" i="77"/>
  <c r="AC7" i="77"/>
  <c r="V49" i="77" s="1"/>
  <c r="I49" i="77" s="1"/>
  <c r="I53" i="77" s="1"/>
  <c r="J53" i="77" s="1"/>
  <c r="G65" i="40"/>
  <c r="H63" i="40"/>
  <c r="Q60" i="80"/>
  <c r="Q73" i="80"/>
  <c r="Q52" i="83"/>
  <c r="F1" i="83"/>
  <c r="Q60" i="83"/>
  <c r="Q73" i="83"/>
  <c r="F1" i="80"/>
  <c r="Q52" i="80"/>
  <c r="K14" i="1"/>
  <c r="K19" i="6"/>
  <c r="K21" i="6"/>
  <c r="K22" i="6"/>
  <c r="M22" i="6" s="1"/>
  <c r="I22" i="6" s="1"/>
  <c r="S22" i="6" s="1"/>
  <c r="K24" i="6"/>
  <c r="M24" i="6" s="1"/>
  <c r="I24" i="6" s="1"/>
  <c r="S24" i="6" s="1"/>
  <c r="K23" i="6"/>
  <c r="M23" i="6" s="1"/>
  <c r="I23" i="6" s="1"/>
  <c r="S23" i="6" s="1"/>
  <c r="E30" i="6"/>
  <c r="E31" i="6" s="1"/>
  <c r="K25" i="6"/>
  <c r="M25" i="6" s="1"/>
  <c r="I25" i="6" s="1"/>
  <c r="S25" i="6" s="1"/>
  <c r="K20" i="6"/>
  <c r="K26" i="6"/>
  <c r="M26" i="6" s="1"/>
  <c r="I26" i="6" s="1"/>
  <c r="S26" i="6" s="1"/>
  <c r="S7" i="77"/>
  <c r="AA7" i="77"/>
  <c r="R49" i="77" s="1"/>
  <c r="G53" i="77"/>
  <c r="H53" i="77" s="1"/>
  <c r="G54" i="77"/>
  <c r="H54" i="77" s="1"/>
  <c r="Q61" i="80"/>
  <c r="Q74" i="80"/>
  <c r="Q61" i="83"/>
  <c r="Q74" i="83"/>
  <c r="J10" i="80"/>
  <c r="J5" i="80" s="1"/>
  <c r="J26" i="80" s="1"/>
  <c r="F27" i="69"/>
  <c r="F27" i="11"/>
  <c r="F28" i="12"/>
  <c r="C29" i="12" s="1"/>
  <c r="D28" i="12" s="1"/>
  <c r="H10" i="40"/>
  <c r="F10" i="39"/>
  <c r="J10" i="40"/>
  <c r="J10" i="39"/>
  <c r="H10" i="39"/>
  <c r="F10" i="40"/>
  <c r="O6" i="1"/>
  <c r="O16" i="1" s="1"/>
  <c r="F69" i="15"/>
  <c r="C53" i="83"/>
  <c r="C10" i="83"/>
  <c r="C5" i="83" s="1"/>
  <c r="C53" i="80"/>
  <c r="C48" i="80" s="1"/>
  <c r="C10" i="80"/>
  <c r="C5" i="80" s="1"/>
  <c r="E6" i="3"/>
  <c r="G68" i="39"/>
  <c r="F70" i="39"/>
  <c r="B40" i="1"/>
  <c r="F24" i="83" s="1"/>
  <c r="J18" i="67"/>
  <c r="J26" i="67"/>
  <c r="J29" i="67" s="1"/>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C42" i="37"/>
  <c r="C43" i="37"/>
  <c r="C37" i="36"/>
  <c r="B2" i="36" s="1"/>
  <c r="B3" i="36" s="1"/>
  <c r="C36" i="36"/>
  <c r="E42" i="35"/>
  <c r="F42" i="35" s="1"/>
  <c r="E43" i="35"/>
  <c r="F43" i="35" s="1"/>
  <c r="D3" i="34"/>
  <c r="D3" i="33"/>
  <c r="B2" i="33" s="1"/>
  <c r="B3" i="33" s="1"/>
  <c r="E6" i="6"/>
  <c r="C17" i="4"/>
  <c r="B4" i="52" s="1"/>
  <c r="B43" i="72" s="1"/>
  <c r="D3" i="37"/>
  <c r="D3" i="21"/>
  <c r="B2" i="21" s="1"/>
  <c r="B3" i="21" s="1"/>
  <c r="D19" i="11"/>
  <c r="C19" i="11" s="1"/>
  <c r="D37" i="11"/>
  <c r="C37" i="11" s="1"/>
  <c r="D14" i="12"/>
  <c r="M18" i="9"/>
  <c r="B118" i="9" s="1"/>
  <c r="B14" i="74" s="1"/>
  <c r="B1" i="74" s="1"/>
  <c r="J18" i="15"/>
  <c r="J24" i="15"/>
  <c r="J26" i="15"/>
  <c r="J29" i="15" s="1"/>
  <c r="E46" i="37"/>
  <c r="F46" i="37" s="1"/>
  <c r="E47" i="37"/>
  <c r="F47" i="37" s="1"/>
  <c r="J59" i="34"/>
  <c r="E40" i="36"/>
  <c r="F40" i="36" s="1"/>
  <c r="E41" i="36"/>
  <c r="F41" i="36" s="1"/>
  <c r="C38" i="35"/>
  <c r="C39" i="35"/>
  <c r="B2" i="35" s="1"/>
  <c r="B3" i="35" s="1"/>
  <c r="P17" i="43"/>
  <c r="N17" i="43"/>
  <c r="G20" i="43" s="1"/>
  <c r="C20" i="43" s="1"/>
  <c r="C36" i="43" s="1"/>
  <c r="M17" i="43"/>
  <c r="O17" i="43"/>
  <c r="AE8" i="1"/>
  <c r="AE6" i="1"/>
  <c r="C48" i="83" l="1"/>
  <c r="C60" i="83" s="1"/>
  <c r="J24" i="83"/>
  <c r="J18" i="83"/>
  <c r="E49" i="77"/>
  <c r="R50" i="77"/>
  <c r="S6" i="1"/>
  <c r="M19" i="6"/>
  <c r="K27" i="6"/>
  <c r="H65" i="40"/>
  <c r="I63" i="40"/>
  <c r="M20" i="6"/>
  <c r="I20" i="6" s="1"/>
  <c r="S7" i="1"/>
  <c r="M21" i="6"/>
  <c r="I21" i="6" s="1"/>
  <c r="S8" i="1"/>
  <c r="M14" i="1"/>
  <c r="M16" i="1" s="1"/>
  <c r="N16" i="1" s="1"/>
  <c r="C34" i="69"/>
  <c r="K16" i="1"/>
  <c r="J24" i="80"/>
  <c r="J18" i="80"/>
  <c r="AB10" i="39"/>
  <c r="U10" i="39"/>
  <c r="W10" i="40"/>
  <c r="AC10" i="40"/>
  <c r="U10" i="40"/>
  <c r="AB10" i="40"/>
  <c r="C47" i="11"/>
  <c r="D45" i="11" s="1"/>
  <c r="C29" i="11"/>
  <c r="D27" i="11" s="1"/>
  <c r="L16" i="1"/>
  <c r="C34" i="11"/>
  <c r="S10" i="40"/>
  <c r="AA10" i="40"/>
  <c r="W10" i="39"/>
  <c r="AC10" i="39"/>
  <c r="S10" i="39"/>
  <c r="AA10" i="39"/>
  <c r="C47" i="69"/>
  <c r="D45" i="69" s="1"/>
  <c r="C29" i="69"/>
  <c r="D27" i="69" s="1"/>
  <c r="C38" i="83"/>
  <c r="C32" i="83"/>
  <c r="C24" i="83"/>
  <c r="C66" i="83"/>
  <c r="F22" i="79"/>
  <c r="C44" i="79" s="1"/>
  <c r="D41" i="79" s="1"/>
  <c r="F24" i="80"/>
  <c r="C38" i="80"/>
  <c r="C32" i="80"/>
  <c r="C66" i="80"/>
  <c r="C60" i="80"/>
  <c r="C26" i="79"/>
  <c r="D22" i="79" s="1"/>
  <c r="C39" i="43"/>
  <c r="E39" i="43" s="1"/>
  <c r="C6" i="79" s="1"/>
  <c r="C7" i="79" s="1"/>
  <c r="T6" i="43"/>
  <c r="V6" i="43" s="1"/>
  <c r="T10" i="43"/>
  <c r="V10" i="43" s="1"/>
  <c r="T15" i="43"/>
  <c r="V15" i="43" s="1"/>
  <c r="T2" i="43"/>
  <c r="V2" i="43" s="1"/>
  <c r="T3" i="43"/>
  <c r="V3" i="43" s="1"/>
  <c r="T12" i="43"/>
  <c r="V12" i="43" s="1"/>
  <c r="T16" i="43"/>
  <c r="V16" i="43" s="1"/>
  <c r="C38" i="43"/>
  <c r="E38" i="43" s="1"/>
  <c r="C6" i="68" s="1"/>
  <c r="C33" i="43"/>
  <c r="E33" i="43" s="1"/>
  <c r="C34" i="43"/>
  <c r="G34" i="43" s="1"/>
  <c r="I34" i="43" s="1"/>
  <c r="C37" i="43"/>
  <c r="G37" i="43" s="1"/>
  <c r="I37" i="43" s="1"/>
  <c r="T4" i="43"/>
  <c r="V4" i="43" s="1"/>
  <c r="T5" i="43"/>
  <c r="V5" i="43" s="1"/>
  <c r="T13" i="43"/>
  <c r="V13" i="43" s="1"/>
  <c r="T8" i="43"/>
  <c r="V8" i="43" s="1"/>
  <c r="T7" i="43"/>
  <c r="V7" i="43" s="1"/>
  <c r="T9" i="43"/>
  <c r="V9" i="43" s="1"/>
  <c r="T14" i="43"/>
  <c r="V14" i="43" s="1"/>
  <c r="T11" i="43"/>
  <c r="V11" i="43" s="1"/>
  <c r="C35" i="43"/>
  <c r="G35" i="43" s="1"/>
  <c r="I35" i="43" s="1"/>
  <c r="C29" i="43"/>
  <c r="E29" i="43" s="1"/>
  <c r="G70" i="39"/>
  <c r="H68" i="39"/>
  <c r="C8" i="74"/>
  <c r="D10" i="69"/>
  <c r="D10" i="11"/>
  <c r="C10" i="11" s="1"/>
  <c r="D20" i="12"/>
  <c r="C20" i="12" s="1"/>
  <c r="C18" i="12" s="1"/>
  <c r="B2" i="37"/>
  <c r="B3" i="37" s="1"/>
  <c r="C38" i="67"/>
  <c r="C32" i="67"/>
  <c r="C38" i="15"/>
  <c r="C32" i="15"/>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E36" i="43"/>
  <c r="G36" i="43"/>
  <c r="I36" i="43" s="1"/>
  <c r="K59" i="34"/>
  <c r="D17" i="12"/>
  <c r="C17" i="12" s="1"/>
  <c r="C14" i="12"/>
  <c r="C16" i="12" s="1"/>
  <c r="C20" i="11"/>
  <c r="C60" i="67"/>
  <c r="C66" i="67"/>
  <c r="C66" i="15"/>
  <c r="C60" i="15"/>
  <c r="F24" i="15"/>
  <c r="F22" i="11"/>
  <c r="F22" i="69"/>
  <c r="F25" i="12"/>
  <c r="C26" i="12" s="1"/>
  <c r="D25" i="12" s="1"/>
  <c r="F24" i="67"/>
  <c r="F22" i="68"/>
  <c r="F41" i="80"/>
  <c r="C17" i="80"/>
  <c r="M21" i="15"/>
  <c r="D10" i="79"/>
  <c r="F41" i="83"/>
  <c r="C17" i="83"/>
  <c r="F35" i="15"/>
  <c r="C17" i="15"/>
  <c r="D10" i="68"/>
  <c r="J29" i="80" l="1"/>
  <c r="F69" i="80"/>
  <c r="F69" i="83"/>
  <c r="J29" i="83"/>
  <c r="D19" i="79"/>
  <c r="C10" i="79"/>
  <c r="C8" i="79" s="1"/>
  <c r="C5" i="79" s="1"/>
  <c r="C23" i="79" s="1"/>
  <c r="L18" i="81"/>
  <c r="S21" i="6"/>
  <c r="S20" i="6"/>
  <c r="L18" i="9"/>
  <c r="M27" i="6"/>
  <c r="I19" i="6"/>
  <c r="C49" i="77"/>
  <c r="C50" i="77"/>
  <c r="C35" i="69"/>
  <c r="C38" i="69"/>
  <c r="E8" i="70"/>
  <c r="AQ8" i="1"/>
  <c r="AR8" i="1"/>
  <c r="T8" i="1"/>
  <c r="AQ7" i="1"/>
  <c r="AR7" i="1"/>
  <c r="E7" i="70"/>
  <c r="T7" i="1"/>
  <c r="J63" i="40"/>
  <c r="I65" i="40"/>
  <c r="AQ6" i="1"/>
  <c r="AR6" i="1"/>
  <c r="E6" i="70"/>
  <c r="T6" i="1"/>
  <c r="S16" i="1"/>
  <c r="I54" i="77"/>
  <c r="J54" i="77" s="1"/>
  <c r="E53" i="77"/>
  <c r="F53" i="77" s="1"/>
  <c r="E54" i="77"/>
  <c r="F54" i="77" s="1"/>
  <c r="M19" i="9"/>
  <c r="C118" i="9" s="1"/>
  <c r="C14" i="74" s="1"/>
  <c r="F50" i="79"/>
  <c r="F50" i="69"/>
  <c r="F50" i="68"/>
  <c r="F50" i="11"/>
  <c r="C16" i="74"/>
  <c r="L19" i="81"/>
  <c r="M19" i="81"/>
  <c r="C118" i="81" s="1"/>
  <c r="C15" i="74"/>
  <c r="M19" i="82"/>
  <c r="C118" i="82" s="1"/>
  <c r="C38" i="11"/>
  <c r="C35" i="11"/>
  <c r="J20" i="15"/>
  <c r="F63" i="15"/>
  <c r="C62" i="15" s="1"/>
  <c r="C34" i="15"/>
  <c r="C24" i="80"/>
  <c r="C7" i="68"/>
  <c r="G33" i="43"/>
  <c r="I33" i="43" s="1"/>
  <c r="D16" i="6"/>
  <c r="D30" i="6"/>
  <c r="E34" i="43"/>
  <c r="E35" i="43"/>
  <c r="C30" i="43"/>
  <c r="E30" i="43" s="1"/>
  <c r="E37" i="43"/>
  <c r="G38" i="43"/>
  <c r="I38" i="43" s="1"/>
  <c r="H70" i="39"/>
  <c r="I68" i="39"/>
  <c r="C21" i="12"/>
  <c r="C22" i="12" s="1"/>
  <c r="C27" i="12" s="1"/>
  <c r="C25" i="12" s="1"/>
  <c r="C25" i="11"/>
  <c r="C26" i="68"/>
  <c r="D22" i="68" s="1"/>
  <c r="C44" i="68"/>
  <c r="D41" i="68" s="1"/>
  <c r="C26" i="11"/>
  <c r="D22" i="11" s="1"/>
  <c r="C23" i="11"/>
  <c r="C44" i="11"/>
  <c r="D41" i="11" s="1"/>
  <c r="C24" i="11"/>
  <c r="R24" i="6"/>
  <c r="R22" i="6"/>
  <c r="R25" i="6"/>
  <c r="R26" i="6"/>
  <c r="C10" i="68"/>
  <c r="C8" i="68" s="1"/>
  <c r="D19" i="68"/>
  <c r="C24" i="67"/>
  <c r="C23" i="67"/>
  <c r="C26" i="69"/>
  <c r="D22" i="69" s="1"/>
  <c r="C44" i="69"/>
  <c r="D41" i="69" s="1"/>
  <c r="C24" i="15"/>
  <c r="C28" i="11"/>
  <c r="C27" i="11" s="1"/>
  <c r="L59" i="34"/>
  <c r="R21" i="6"/>
  <c r="R8" i="1" s="1"/>
  <c r="R23" i="6"/>
  <c r="A7" i="51"/>
  <c r="B7" i="72" s="1"/>
  <c r="C4" i="52"/>
  <c r="B45" i="72" s="1"/>
  <c r="A10" i="51"/>
  <c r="B9" i="72" s="1"/>
  <c r="D27" i="6"/>
  <c r="C10" i="69"/>
  <c r="C8" i="69" s="1"/>
  <c r="C5" i="69" s="1"/>
  <c r="D19" i="69"/>
  <c r="C34" i="79"/>
  <c r="F35" i="80"/>
  <c r="C14" i="83"/>
  <c r="M21" i="80"/>
  <c r="C34" i="68"/>
  <c r="C14" i="15"/>
  <c r="C14" i="80"/>
  <c r="C5" i="68" l="1"/>
  <c r="C23" i="68" s="1"/>
  <c r="C33" i="11"/>
  <c r="C39" i="11" s="1"/>
  <c r="C18" i="83"/>
  <c r="C15" i="83"/>
  <c r="C35" i="68"/>
  <c r="C38" i="68"/>
  <c r="C15" i="15"/>
  <c r="C18" i="15"/>
  <c r="C35" i="79"/>
  <c r="C38" i="79"/>
  <c r="C15" i="80"/>
  <c r="C18" i="80"/>
  <c r="T16" i="1"/>
  <c r="K63" i="40"/>
  <c r="J65" i="40"/>
  <c r="E2" i="70"/>
  <c r="B2" i="77"/>
  <c r="B3" i="77"/>
  <c r="L18" i="82"/>
  <c r="S19" i="6"/>
  <c r="S27" i="6" s="1"/>
  <c r="I27" i="6"/>
  <c r="H19" i="6"/>
  <c r="C19" i="79"/>
  <c r="D37" i="79"/>
  <c r="C37" i="79" s="1"/>
  <c r="C42" i="11"/>
  <c r="B2" i="74"/>
  <c r="D8" i="74" s="1"/>
  <c r="J20" i="80"/>
  <c r="F63" i="80"/>
  <c r="C62" i="80" s="1"/>
  <c r="C34" i="80"/>
  <c r="C26" i="43"/>
  <c r="B2" i="43" s="1"/>
  <c r="D31" i="6"/>
  <c r="I5" i="6" s="1"/>
  <c r="C27" i="43"/>
  <c r="J68" i="39"/>
  <c r="I70" i="39"/>
  <c r="C29" i="67"/>
  <c r="Q49" i="67" s="1"/>
  <c r="C19" i="69"/>
  <c r="C24" i="69" s="1"/>
  <c r="D37" i="69"/>
  <c r="C37" i="69" s="1"/>
  <c r="C33" i="69" s="1"/>
  <c r="M59" i="34"/>
  <c r="C30" i="12"/>
  <c r="C28" i="12" s="1"/>
  <c r="C32" i="12" s="1"/>
  <c r="B2" i="12" s="1"/>
  <c r="B3" i="12" s="1"/>
  <c r="C19" i="68"/>
  <c r="D37" i="68"/>
  <c r="C37" i="68" s="1"/>
  <c r="C22" i="11"/>
  <c r="C31" i="11" s="1"/>
  <c r="C23" i="69"/>
  <c r="I6" i="6"/>
  <c r="E6" i="76"/>
  <c r="B6" i="76"/>
  <c r="C19" i="83" l="1"/>
  <c r="C20" i="83" s="1"/>
  <c r="C26" i="83" s="1"/>
  <c r="C33" i="68"/>
  <c r="C39" i="68" s="1"/>
  <c r="C43" i="68" s="1"/>
  <c r="C33" i="79"/>
  <c r="C39" i="79" s="1"/>
  <c r="C19" i="80"/>
  <c r="C19" i="15"/>
  <c r="C20" i="15" s="1"/>
  <c r="C26" i="15" s="1"/>
  <c r="C20" i="80"/>
  <c r="C26" i="80" s="1"/>
  <c r="H27" i="6"/>
  <c r="L19" i="82"/>
  <c r="R19" i="6"/>
  <c r="K65" i="40"/>
  <c r="L63" i="40"/>
  <c r="C20" i="79"/>
  <c r="C24" i="79"/>
  <c r="C46" i="11"/>
  <c r="C45" i="11" s="1"/>
  <c r="C43" i="11"/>
  <c r="C41" i="11" s="1"/>
  <c r="E2" i="76"/>
  <c r="C20" i="69"/>
  <c r="C25" i="69" s="1"/>
  <c r="C22" i="69" s="1"/>
  <c r="J59" i="67"/>
  <c r="J60" i="67" s="1"/>
  <c r="L46" i="67" s="1"/>
  <c r="J70" i="39"/>
  <c r="K68" i="39"/>
  <c r="C57" i="67"/>
  <c r="C61" i="67" s="1"/>
  <c r="C59" i="67" s="1"/>
  <c r="C36" i="67"/>
  <c r="J14" i="67"/>
  <c r="J13" i="67" s="1"/>
  <c r="J23" i="67" s="1"/>
  <c r="C33" i="67"/>
  <c r="C31" i="67" s="1"/>
  <c r="C13" i="67"/>
  <c r="C56" i="67" s="1"/>
  <c r="C65" i="67" s="1"/>
  <c r="J19" i="67"/>
  <c r="J17" i="67" s="1"/>
  <c r="B2" i="76"/>
  <c r="C42" i="69"/>
  <c r="C39" i="69"/>
  <c r="C43" i="69" s="1"/>
  <c r="C42" i="68"/>
  <c r="B3" i="43"/>
  <c r="C24" i="68"/>
  <c r="C20" i="68"/>
  <c r="C25" i="68" s="1"/>
  <c r="N59" i="34"/>
  <c r="C42" i="79" l="1"/>
  <c r="C23" i="80"/>
  <c r="C29" i="80" s="1"/>
  <c r="C36" i="80" s="1"/>
  <c r="C28" i="79"/>
  <c r="C27" i="79" s="1"/>
  <c r="C25" i="79"/>
  <c r="C22" i="79" s="1"/>
  <c r="C23" i="83"/>
  <c r="C29" i="83" s="1"/>
  <c r="L65" i="40"/>
  <c r="M63" i="40"/>
  <c r="R27" i="6"/>
  <c r="R6" i="1"/>
  <c r="C23" i="15"/>
  <c r="C29" i="15" s="1"/>
  <c r="C46" i="79"/>
  <c r="C45" i="79" s="1"/>
  <c r="C43" i="79"/>
  <c r="C49" i="11"/>
  <c r="C51" i="11" s="1"/>
  <c r="C52" i="11" s="1"/>
  <c r="B2" i="11" s="1"/>
  <c r="B3" i="11" s="1"/>
  <c r="B3" i="76"/>
  <c r="C37" i="67"/>
  <c r="C30" i="67" s="1"/>
  <c r="C39" i="67" s="1"/>
  <c r="Q69" i="67" s="1"/>
  <c r="Q48" i="67"/>
  <c r="C28" i="69"/>
  <c r="C27" i="69" s="1"/>
  <c r="C31" i="69" s="1"/>
  <c r="Q70" i="67"/>
  <c r="J22" i="67"/>
  <c r="J16" i="67" s="1"/>
  <c r="J25" i="67" s="1"/>
  <c r="C75" i="67"/>
  <c r="C64" i="67"/>
  <c r="C58" i="67" s="1"/>
  <c r="C67" i="67" s="1"/>
  <c r="C68" i="67" s="1"/>
  <c r="L68" i="39"/>
  <c r="K70" i="39"/>
  <c r="C41" i="69"/>
  <c r="C28" i="68"/>
  <c r="C27" i="68" s="1"/>
  <c r="O59" i="34"/>
  <c r="H7" i="34"/>
  <c r="C22" i="68"/>
  <c r="C46" i="68"/>
  <c r="C45" i="68" s="1"/>
  <c r="C46" i="69"/>
  <c r="C45" i="69" s="1"/>
  <c r="C41" i="68"/>
  <c r="M21" i="83"/>
  <c r="F35" i="83"/>
  <c r="C41" i="79" l="1"/>
  <c r="C49" i="79" s="1"/>
  <c r="C51" i="79" s="1"/>
  <c r="J19" i="80"/>
  <c r="J17" i="80" s="1"/>
  <c r="C33" i="80"/>
  <c r="C31" i="80" s="1"/>
  <c r="J59" i="80"/>
  <c r="J60" i="80" s="1"/>
  <c r="Q48" i="80" s="1"/>
  <c r="J14" i="80"/>
  <c r="C31" i="79"/>
  <c r="C13" i="80"/>
  <c r="C57" i="80"/>
  <c r="Q49" i="80"/>
  <c r="F63" i="83"/>
  <c r="C62" i="83" s="1"/>
  <c r="C34" i="83"/>
  <c r="J20" i="83"/>
  <c r="C33" i="15"/>
  <c r="C31" i="15" s="1"/>
  <c r="J19" i="15"/>
  <c r="J17" i="15" s="1"/>
  <c r="J59" i="15"/>
  <c r="J60" i="15" s="1"/>
  <c r="Q48" i="15" s="1"/>
  <c r="C36" i="15"/>
  <c r="Q49" i="15"/>
  <c r="C13" i="15"/>
  <c r="J14" i="15"/>
  <c r="C57" i="15"/>
  <c r="C36" i="83"/>
  <c r="J14" i="83"/>
  <c r="Q49" i="83"/>
  <c r="J59" i="83"/>
  <c r="J60" i="83" s="1"/>
  <c r="Q48" i="83" s="1"/>
  <c r="C57" i="83"/>
  <c r="J19" i="83"/>
  <c r="C13" i="83"/>
  <c r="C33" i="83"/>
  <c r="R16" i="1"/>
  <c r="N63" i="40"/>
  <c r="M65" i="40"/>
  <c r="C56" i="11"/>
  <c r="C57" i="11" s="1"/>
  <c r="L57" i="83"/>
  <c r="L60" i="83" s="1"/>
  <c r="C80" i="67"/>
  <c r="C79" i="67" s="1"/>
  <c r="C49" i="69"/>
  <c r="C51" i="69" s="1"/>
  <c r="C52" i="69" s="1"/>
  <c r="B2" i="69" s="1"/>
  <c r="B3" i="69" s="1"/>
  <c r="C40" i="67"/>
  <c r="Q65" i="67" s="1"/>
  <c r="Q68" i="67"/>
  <c r="C49" i="68"/>
  <c r="C51" i="68" s="1"/>
  <c r="L70" i="39"/>
  <c r="M68" i="39"/>
  <c r="C31" i="68"/>
  <c r="L57" i="15"/>
  <c r="L60" i="15" s="1"/>
  <c r="C71" i="67"/>
  <c r="U7" i="34"/>
  <c r="AB7" i="34"/>
  <c r="T49" i="34" s="1"/>
  <c r="G49" i="34" s="1"/>
  <c r="F7" i="34"/>
  <c r="J7" i="34"/>
  <c r="L51" i="67"/>
  <c r="C52" i="79" l="1"/>
  <c r="B2" i="79" s="1"/>
  <c r="L46" i="83"/>
  <c r="C57" i="79"/>
  <c r="C56" i="79" s="1"/>
  <c r="L46" i="15"/>
  <c r="C31" i="83"/>
  <c r="J22" i="80"/>
  <c r="J13" i="80"/>
  <c r="J23" i="80" s="1"/>
  <c r="C61" i="80"/>
  <c r="C59" i="80" s="1"/>
  <c r="C64" i="80"/>
  <c r="Q70" i="80"/>
  <c r="C56" i="80"/>
  <c r="C65" i="80" s="1"/>
  <c r="C75" i="80"/>
  <c r="C37" i="80"/>
  <c r="C30" i="80" s="1"/>
  <c r="C39" i="80" s="1"/>
  <c r="C75" i="83"/>
  <c r="C37" i="83"/>
  <c r="Q70" i="83"/>
  <c r="C56" i="83"/>
  <c r="C65" i="83" s="1"/>
  <c r="C64" i="83"/>
  <c r="C61" i="83"/>
  <c r="C59" i="83" s="1"/>
  <c r="J13" i="15"/>
  <c r="J23" i="15" s="1"/>
  <c r="J22" i="15"/>
  <c r="N65" i="40"/>
  <c r="O63" i="40"/>
  <c r="O65" i="40" s="1"/>
  <c r="J22" i="83"/>
  <c r="J13" i="83"/>
  <c r="J23" i="83" s="1"/>
  <c r="C64" i="15"/>
  <c r="C61" i="15"/>
  <c r="C59" i="15" s="1"/>
  <c r="C56" i="15"/>
  <c r="C65" i="15" s="1"/>
  <c r="C37" i="15"/>
  <c r="C30" i="15" s="1"/>
  <c r="C39" i="15" s="1"/>
  <c r="C75" i="15"/>
  <c r="Q70" i="15"/>
  <c r="J17" i="83"/>
  <c r="L57" i="67"/>
  <c r="L60" i="67" s="1"/>
  <c r="Q57" i="67" s="1"/>
  <c r="Q67" i="67"/>
  <c r="Q66" i="83"/>
  <c r="Q57" i="83"/>
  <c r="L57" i="80"/>
  <c r="L60" i="80" s="1"/>
  <c r="L46" i="80" s="1"/>
  <c r="Q56" i="67"/>
  <c r="C45" i="67"/>
  <c r="C46" i="67" s="1"/>
  <c r="C83" i="67"/>
  <c r="C82" i="67" s="1"/>
  <c r="D2" i="67"/>
  <c r="B3" i="67" s="1"/>
  <c r="C43" i="67"/>
  <c r="Q47" i="67"/>
  <c r="Q53" i="67" s="1"/>
  <c r="C52" i="68"/>
  <c r="C57" i="68" s="1"/>
  <c r="C56" i="68" s="1"/>
  <c r="M70" i="39"/>
  <c r="N68" i="39"/>
  <c r="C57" i="69"/>
  <c r="C56" i="69" s="1"/>
  <c r="G53" i="34"/>
  <c r="H53" i="34" s="1"/>
  <c r="Q66" i="15"/>
  <c r="Q57" i="15"/>
  <c r="AC7" i="34"/>
  <c r="V49" i="34" s="1"/>
  <c r="I49" i="34" s="1"/>
  <c r="W7" i="34"/>
  <c r="S7" i="34"/>
  <c r="AA7" i="34"/>
  <c r="R49" i="34" s="1"/>
  <c r="C19" i="81"/>
  <c r="B3" i="79"/>
  <c r="L51" i="80"/>
  <c r="C21" i="81" l="1"/>
  <c r="C102" i="81"/>
  <c r="C30" i="83"/>
  <c r="C39" i="83" s="1"/>
  <c r="C40" i="83" s="1"/>
  <c r="C58" i="15"/>
  <c r="C67" i="15" s="1"/>
  <c r="C68" i="15" s="1"/>
  <c r="C71" i="15" s="1"/>
  <c r="C80" i="80"/>
  <c r="C79" i="80" s="1"/>
  <c r="C58" i="80"/>
  <c r="C67" i="80" s="1"/>
  <c r="C68" i="80" s="1"/>
  <c r="C71" i="80" s="1"/>
  <c r="J16" i="80"/>
  <c r="J25" i="80" s="1"/>
  <c r="Q67" i="80"/>
  <c r="Q69" i="80"/>
  <c r="Q68" i="80" s="1"/>
  <c r="C40" i="80"/>
  <c r="J16" i="15"/>
  <c r="J25" i="15" s="1"/>
  <c r="C58" i="83"/>
  <c r="C67" i="83" s="1"/>
  <c r="C68" i="83" s="1"/>
  <c r="C71" i="83" s="1"/>
  <c r="C40" i="15"/>
  <c r="Q69" i="15"/>
  <c r="Q68" i="15" s="1"/>
  <c r="Q69" i="83"/>
  <c r="Q68" i="83" s="1"/>
  <c r="H7" i="40"/>
  <c r="F7" i="40"/>
  <c r="J7" i="40"/>
  <c r="J16" i="83"/>
  <c r="J25" i="83" s="1"/>
  <c r="C80" i="15"/>
  <c r="C79" i="15" s="1"/>
  <c r="Q66" i="67"/>
  <c r="Q75" i="67" s="1"/>
  <c r="Q66" i="80"/>
  <c r="Q57" i="80"/>
  <c r="Q62" i="67"/>
  <c r="B2" i="67"/>
  <c r="B2" i="68"/>
  <c r="O68" i="39"/>
  <c r="O70" i="39" s="1"/>
  <c r="N70" i="39"/>
  <c r="I53" i="34"/>
  <c r="J53" i="34" s="1"/>
  <c r="R50" i="34"/>
  <c r="E49" i="34"/>
  <c r="I54" i="34" s="1"/>
  <c r="J54" i="34" s="1"/>
  <c r="G54" i="34"/>
  <c r="H54" i="34" s="1"/>
  <c r="C20" i="81"/>
  <c r="C19" i="9"/>
  <c r="L51" i="15"/>
  <c r="L51" i="83"/>
  <c r="B3" i="68"/>
  <c r="C80" i="83" l="1"/>
  <c r="C79" i="83" s="1"/>
  <c r="C103" i="81"/>
  <c r="Q47" i="80"/>
  <c r="Q53" i="80" s="1"/>
  <c r="Q56" i="80"/>
  <c r="Q62" i="80" s="1"/>
  <c r="C83" i="80"/>
  <c r="C82" i="80" s="1"/>
  <c r="C46" i="80"/>
  <c r="Q65" i="80"/>
  <c r="Q75" i="80" s="1"/>
  <c r="C43" i="80"/>
  <c r="B2" i="80"/>
  <c r="Q67" i="83"/>
  <c r="Q67" i="15"/>
  <c r="AC7" i="40"/>
  <c r="V42" i="40" s="1"/>
  <c r="I42" i="40" s="1"/>
  <c r="I46" i="40" s="1"/>
  <c r="J46" i="40" s="1"/>
  <c r="W7" i="40"/>
  <c r="AB7" i="40"/>
  <c r="T42" i="40" s="1"/>
  <c r="G42" i="40" s="1"/>
  <c r="U7" i="40"/>
  <c r="S7" i="40"/>
  <c r="AA7" i="40"/>
  <c r="R42" i="40" s="1"/>
  <c r="C46" i="83"/>
  <c r="Q56" i="83"/>
  <c r="Q62" i="83" s="1"/>
  <c r="B2" i="83"/>
  <c r="Q65" i="83"/>
  <c r="Q75" i="83" s="1"/>
  <c r="C83" i="83"/>
  <c r="C82" i="83" s="1"/>
  <c r="C43" i="83"/>
  <c r="Q47" i="83"/>
  <c r="Q53" i="83" s="1"/>
  <c r="C46" i="15"/>
  <c r="C43" i="15"/>
  <c r="B2" i="15"/>
  <c r="C83" i="15"/>
  <c r="C82" i="15" s="1"/>
  <c r="Q56" i="15"/>
  <c r="Q62" i="15" s="1"/>
  <c r="Q65" i="15"/>
  <c r="Q75" i="15" s="1"/>
  <c r="Q47" i="15"/>
  <c r="Q53" i="15" s="1"/>
  <c r="C102" i="9"/>
  <c r="C21" i="9"/>
  <c r="F7" i="39"/>
  <c r="J7" i="39"/>
  <c r="H7" i="39"/>
  <c r="C50" i="34"/>
  <c r="B2" i="34" s="1"/>
  <c r="C49" i="34"/>
  <c r="E54" i="34"/>
  <c r="F54" i="34" s="1"/>
  <c r="E53" i="34"/>
  <c r="F53" i="34" s="1"/>
  <c r="D19" i="82"/>
  <c r="AO6" i="1"/>
  <c r="C20" i="9"/>
  <c r="AO7" i="1"/>
  <c r="C19" i="82"/>
  <c r="AO8" i="1"/>
  <c r="D19" i="9"/>
  <c r="D19" i="81"/>
  <c r="D21" i="81" l="1"/>
  <c r="G19" i="81"/>
  <c r="D102" i="81"/>
  <c r="D22" i="81"/>
  <c r="B8" i="70"/>
  <c r="B3" i="80"/>
  <c r="B7" i="70"/>
  <c r="D21" i="9"/>
  <c r="D102" i="9"/>
  <c r="D22" i="9"/>
  <c r="G19" i="9"/>
  <c r="C32" i="9" s="1"/>
  <c r="D102" i="82"/>
  <c r="D21" i="82"/>
  <c r="B6" i="70"/>
  <c r="B3" i="15"/>
  <c r="R43" i="40"/>
  <c r="E42" i="40"/>
  <c r="B3" i="83"/>
  <c r="G47" i="40"/>
  <c r="H47" i="40" s="1"/>
  <c r="G46" i="40"/>
  <c r="H46" i="40" s="1"/>
  <c r="C103" i="9"/>
  <c r="C21" i="82"/>
  <c r="C102" i="82"/>
  <c r="D22" i="82"/>
  <c r="G19" i="82"/>
  <c r="D15" i="74" s="1"/>
  <c r="B3" i="34"/>
  <c r="AB7" i="39"/>
  <c r="T47" i="39" s="1"/>
  <c r="G47" i="39" s="1"/>
  <c r="U7" i="39"/>
  <c r="W7" i="39"/>
  <c r="AC7" i="39"/>
  <c r="V47" i="39" s="1"/>
  <c r="I47" i="39" s="1"/>
  <c r="AA7" i="39"/>
  <c r="R47" i="39" s="1"/>
  <c r="S7" i="39"/>
  <c r="D20" i="81"/>
  <c r="D20" i="82"/>
  <c r="D20" i="9"/>
  <c r="C20" i="82"/>
  <c r="G21" i="9" l="1"/>
  <c r="D103" i="81"/>
  <c r="G20" i="81"/>
  <c r="B2" i="70"/>
  <c r="B3" i="70" s="1"/>
  <c r="D16" i="74"/>
  <c r="G21" i="81"/>
  <c r="C32" i="81"/>
  <c r="D103" i="82"/>
  <c r="D103" i="9"/>
  <c r="G20" i="9"/>
  <c r="C42" i="40"/>
  <c r="C43" i="40"/>
  <c r="I47" i="40"/>
  <c r="J47" i="40" s="1"/>
  <c r="E46" i="40"/>
  <c r="F46" i="40" s="1"/>
  <c r="E47" i="40"/>
  <c r="F47" i="40" s="1"/>
  <c r="E15" i="74"/>
  <c r="F15" i="74"/>
  <c r="C35" i="9"/>
  <c r="F118" i="9" s="1"/>
  <c r="H118" i="9"/>
  <c r="C103" i="82"/>
  <c r="G20" i="82"/>
  <c r="C32" i="82"/>
  <c r="G21" i="82"/>
  <c r="E47" i="39"/>
  <c r="R48" i="39"/>
  <c r="G52" i="39"/>
  <c r="H52" i="39" s="1"/>
  <c r="G51" i="39"/>
  <c r="H51" i="39" s="1"/>
  <c r="I52" i="39"/>
  <c r="J52" i="39" s="1"/>
  <c r="I51" i="39"/>
  <c r="J51" i="39" s="1"/>
  <c r="C35" i="81" l="1"/>
  <c r="H118" i="81"/>
  <c r="E16" i="74"/>
  <c r="F16" i="74"/>
  <c r="B58" i="40"/>
  <c r="F58" i="40" s="1"/>
  <c r="B52" i="40"/>
  <c r="F52" i="40" s="1"/>
  <c r="B51" i="40"/>
  <c r="F51" i="40" s="1"/>
  <c r="B53" i="40"/>
  <c r="F53" i="40" s="1"/>
  <c r="B55" i="40"/>
  <c r="F55" i="40" s="1"/>
  <c r="B57" i="40"/>
  <c r="F57" i="40" s="1"/>
  <c r="B56" i="40"/>
  <c r="F56" i="40" s="1"/>
  <c r="F61" i="40"/>
  <c r="B2" i="40" s="1"/>
  <c r="B3" i="40" s="1"/>
  <c r="B59" i="40"/>
  <c r="F59" i="40" s="1"/>
  <c r="B54" i="40"/>
  <c r="F54" i="40" s="1"/>
  <c r="B60" i="40"/>
  <c r="F60" i="40" s="1"/>
  <c r="H110" i="81"/>
  <c r="D124" i="81"/>
  <c r="D125" i="81" s="1"/>
  <c r="M49" i="81"/>
  <c r="C34" i="9"/>
  <c r="D118" i="9" s="1"/>
  <c r="D119" i="9" s="1"/>
  <c r="D5" i="52" s="1"/>
  <c r="B49" i="72" s="1"/>
  <c r="F119" i="9"/>
  <c r="F5" i="52" s="1"/>
  <c r="B53" i="72" s="1"/>
  <c r="F4" i="52"/>
  <c r="B51" i="72" s="1"/>
  <c r="G118" i="9"/>
  <c r="G4" i="52" s="1"/>
  <c r="B52" i="72" s="1"/>
  <c r="C104" i="9"/>
  <c r="H101" i="9"/>
  <c r="H109" i="9" s="1"/>
  <c r="D14" i="74"/>
  <c r="H119" i="9"/>
  <c r="H5" i="52" s="1"/>
  <c r="H4" i="52"/>
  <c r="I118" i="9"/>
  <c r="C35" i="82"/>
  <c r="F118" i="82" s="1"/>
  <c r="H118" i="82"/>
  <c r="E51" i="39"/>
  <c r="F51" i="39" s="1"/>
  <c r="E52" i="39"/>
  <c r="F52" i="39" s="1"/>
  <c r="C47" i="39"/>
  <c r="C48" i="39"/>
  <c r="H119" i="81" l="1"/>
  <c r="I118" i="81"/>
  <c r="H101" i="81"/>
  <c r="C104" i="81"/>
  <c r="F118" i="81"/>
  <c r="C34" i="81"/>
  <c r="D118" i="81" s="1"/>
  <c r="D119" i="81" s="1"/>
  <c r="M49" i="9"/>
  <c r="D124" i="9"/>
  <c r="H110" i="9"/>
  <c r="D18" i="53" s="1"/>
  <c r="B35" i="72" s="1"/>
  <c r="D16" i="53"/>
  <c r="L65" i="81"/>
  <c r="M65" i="81" s="1"/>
  <c r="L68" i="81"/>
  <c r="M68" i="81" s="1"/>
  <c r="L63" i="81"/>
  <c r="M63" i="81" s="1"/>
  <c r="L66" i="81"/>
  <c r="M66" i="81" s="1"/>
  <c r="L64" i="81"/>
  <c r="M64" i="81" s="1"/>
  <c r="L67" i="81"/>
  <c r="M67" i="81" s="1"/>
  <c r="D4" i="52"/>
  <c r="B47" i="72" s="1"/>
  <c r="C105" i="9"/>
  <c r="I4" i="52"/>
  <c r="H102" i="9"/>
  <c r="D7" i="53" s="1"/>
  <c r="B21" i="72" s="1"/>
  <c r="E118" i="9"/>
  <c r="E4" i="52" s="1"/>
  <c r="B48" i="72" s="1"/>
  <c r="H107" i="9"/>
  <c r="D45" i="9"/>
  <c r="M48" i="9"/>
  <c r="D5" i="53"/>
  <c r="E14" i="74"/>
  <c r="B5" i="74"/>
  <c r="F14" i="74"/>
  <c r="G118" i="82"/>
  <c r="F119" i="82"/>
  <c r="C34" i="82"/>
  <c r="D118" i="82" s="1"/>
  <c r="D119" i="82" s="1"/>
  <c r="H119" i="82"/>
  <c r="H101" i="82"/>
  <c r="H109" i="82" s="1"/>
  <c r="I118" i="82"/>
  <c r="C104" i="82"/>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C105" i="81" l="1"/>
  <c r="H102" i="81"/>
  <c r="G118" i="81"/>
  <c r="E118" i="81" s="1"/>
  <c r="F119" i="81"/>
  <c r="H109" i="81"/>
  <c r="H107" i="81"/>
  <c r="M48" i="81"/>
  <c r="D45" i="81"/>
  <c r="B34" i="72"/>
  <c r="D17" i="53"/>
  <c r="B36" i="72" s="1"/>
  <c r="H14" i="74"/>
  <c r="B7" i="74" s="1"/>
  <c r="D10" i="52"/>
  <c r="D125" i="9"/>
  <c r="D11" i="52" s="1"/>
  <c r="D124" i="82"/>
  <c r="D125" i="82" s="1"/>
  <c r="M49" i="82"/>
  <c r="H110" i="82"/>
  <c r="M69" i="81"/>
  <c r="N69" i="81" s="1"/>
  <c r="L65" i="9"/>
  <c r="M65" i="9" s="1"/>
  <c r="L64" i="9"/>
  <c r="M64" i="9" s="1"/>
  <c r="L67" i="9"/>
  <c r="M67" i="9" s="1"/>
  <c r="L68" i="9"/>
  <c r="M68" i="9" s="1"/>
  <c r="L66" i="9"/>
  <c r="M66" i="9" s="1"/>
  <c r="L63" i="9"/>
  <c r="M63" i="9" s="1"/>
  <c r="D13" i="53"/>
  <c r="D122" i="9"/>
  <c r="H108" i="9"/>
  <c r="D15" i="53" s="1"/>
  <c r="B31" i="72" s="1"/>
  <c r="D5" i="74"/>
  <c r="C5" i="74"/>
  <c r="B20" i="72"/>
  <c r="D6" i="53"/>
  <c r="B22" i="72" s="1"/>
  <c r="C93" i="9"/>
  <c r="C86" i="9" s="1"/>
  <c r="C72" i="9"/>
  <c r="D55" i="9"/>
  <c r="M53" i="9" s="1"/>
  <c r="C64" i="9"/>
  <c r="C63" i="9" s="1"/>
  <c r="C67" i="9" s="1"/>
  <c r="C68" i="9" s="1"/>
  <c r="D54" i="9" s="1"/>
  <c r="D53" i="9"/>
  <c r="D52" i="9"/>
  <c r="C78" i="9"/>
  <c r="C73" i="9" s="1"/>
  <c r="C85" i="9"/>
  <c r="H102" i="82"/>
  <c r="E118" i="82"/>
  <c r="C105" i="82"/>
  <c r="D45" i="82"/>
  <c r="M48" i="82"/>
  <c r="H107" i="82"/>
  <c r="C85" i="81" l="1"/>
  <c r="C72" i="81"/>
  <c r="C78" i="81"/>
  <c r="C73" i="81" s="1"/>
  <c r="C93" i="81"/>
  <c r="C86" i="81" s="1"/>
  <c r="D53" i="81"/>
  <c r="D52" i="81"/>
  <c r="C64" i="81"/>
  <c r="C63" i="81" s="1"/>
  <c r="C67" i="81" s="1"/>
  <c r="C68" i="81" s="1"/>
  <c r="D54" i="81" s="1"/>
  <c r="D55" i="81"/>
  <c r="M53" i="81" s="1"/>
  <c r="H108" i="81"/>
  <c r="D122" i="81"/>
  <c r="D123" i="81" s="1"/>
  <c r="M69" i="9"/>
  <c r="N69" i="9" s="1"/>
  <c r="L66" i="82"/>
  <c r="M66" i="82" s="1"/>
  <c r="L65" i="82"/>
  <c r="M65" i="82" s="1"/>
  <c r="L68" i="82"/>
  <c r="M68" i="82" s="1"/>
  <c r="L63" i="82"/>
  <c r="M63" i="82" s="1"/>
  <c r="L64" i="82"/>
  <c r="M64" i="82" s="1"/>
  <c r="L67" i="82"/>
  <c r="M67" i="82" s="1"/>
  <c r="C7" i="74"/>
  <c r="D7" i="74"/>
  <c r="C95" i="9"/>
  <c r="C96" i="9" s="1"/>
  <c r="E96" i="9" s="1"/>
  <c r="E97" i="9" s="1"/>
  <c r="D123" i="9"/>
  <c r="D9" i="52" s="1"/>
  <c r="G14" i="74"/>
  <c r="B6" i="74" s="1"/>
  <c r="D8" i="52"/>
  <c r="C79" i="9"/>
  <c r="B30" i="72"/>
  <c r="D14" i="53"/>
  <c r="B32" i="72" s="1"/>
  <c r="H108" i="82"/>
  <c r="D122" i="82"/>
  <c r="D123" i="82" s="1"/>
  <c r="C93" i="82"/>
  <c r="C86" i="82" s="1"/>
  <c r="D55" i="82"/>
  <c r="M53" i="82" s="1"/>
  <c r="C85" i="82"/>
  <c r="D53" i="82"/>
  <c r="C72" i="82"/>
  <c r="D52" i="82"/>
  <c r="C78" i="82"/>
  <c r="C73" i="82" s="1"/>
  <c r="C64" i="82"/>
  <c r="C63" i="82" s="1"/>
  <c r="C67" i="82" s="1"/>
  <c r="C68" i="82" s="1"/>
  <c r="D54" i="82" s="1"/>
  <c r="C95" i="81" l="1"/>
  <c r="C96" i="81" s="1"/>
  <c r="E96" i="81" s="1"/>
  <c r="E97" i="81" s="1"/>
  <c r="C79" i="81"/>
  <c r="C80" i="81" s="1"/>
  <c r="E80" i="81" s="1"/>
  <c r="E81" i="81" s="1"/>
  <c r="M69" i="82"/>
  <c r="N69" i="82" s="1"/>
  <c r="C81" i="81"/>
  <c r="C97" i="81"/>
  <c r="D58" i="81" s="1"/>
  <c r="D56" i="81" s="1"/>
  <c r="M54" i="81" s="1"/>
  <c r="N57" i="81" s="1"/>
  <c r="N58" i="81" s="1"/>
  <c r="C97" i="9"/>
  <c r="D58" i="9" s="1"/>
  <c r="D56" i="9" s="1"/>
  <c r="M54" i="9" s="1"/>
  <c r="N57" i="9" s="1"/>
  <c r="N58" i="9" s="1"/>
  <c r="C80" i="9"/>
  <c r="E80" i="9" s="1"/>
  <c r="E81" i="9" s="1"/>
  <c r="C6" i="74"/>
  <c r="D6" i="74"/>
  <c r="C95" i="82"/>
  <c r="C79" i="82"/>
  <c r="N59" i="81" l="1"/>
  <c r="N60" i="81" s="1"/>
  <c r="P57" i="81"/>
  <c r="C81" i="9"/>
  <c r="N59" i="9"/>
  <c r="N61" i="9" s="1"/>
  <c r="P57" i="9"/>
  <c r="C96" i="82"/>
  <c r="E96" i="82" s="1"/>
  <c r="E97" i="82" s="1"/>
  <c r="C80" i="82"/>
  <c r="E80" i="82" s="1"/>
  <c r="E81" i="82" s="1"/>
  <c r="N61" i="81" l="1"/>
  <c r="N60" i="9"/>
  <c r="C81" i="82"/>
  <c r="C97" i="82"/>
  <c r="D58" i="82" s="1"/>
  <c r="D56" i="82" s="1"/>
  <c r="M54" i="82" s="1"/>
  <c r="N57" i="82" s="1"/>
  <c r="N58" i="82" l="1"/>
  <c r="N59" i="82"/>
  <c r="P57" i="82"/>
  <c r="N61" i="82" l="1"/>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<sst xmlns="http://schemas.openxmlformats.org/spreadsheetml/2006/main" count="9454" uniqueCount="3194">
  <si>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</si>
  <si>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</si>
  <si>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</si>
  <si>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</si>
  <si>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</si>
  <si>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</si>
  <si>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</si>
  <si>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</si>
  <si>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</si>
  <si>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</si>
  <si>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</si>
  <si>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</si>
  <si>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</si>
  <si>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</si>
  <si>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</si>
  <si>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</si>
  <si>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</si>
  <si>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</si>
  <si>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</si>
  <si>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</si>
  <si>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</si>
  <si>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</si>
  <si>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</si>
  <si>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</si>
  <si>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</si>
  <si>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</si>
  <si>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</si>
  <si>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</si>
  <si>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</si>
  <si>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</si>
  <si>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</si>
  <si>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</si>
  <si>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</si>
  <si>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</si>
  <si>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</si>
  <si>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</si>
  <si>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</si>
  <si>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</si>
  <si>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</si>
  <si>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</si>
  <si>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</si>
  <si>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</si>
  <si>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</si>
  <si>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</si>
  <si>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</si>
  <si>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</si>
  <si>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</si>
  <si>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</si>
  <si>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</si>
  <si>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</si>
  <si>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</si>
  <si>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</si>
  <si>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</si>
  <si>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</si>
  <si>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</si>
  <si>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</si>
  <si>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</si>
  <si>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</si>
  <si>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</si>
  <si>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</si>
  <si>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</si>
  <si>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</si>
  <si>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</si>
  <si>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</si>
  <si>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</si>
  <si>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</si>
  <si>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</si>
  <si>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</si>
  <si>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</si>
  <si>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</si>
  <si>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</si>
  <si>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</si>
  <si>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</si>
  <si>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</si>
  <si>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</si>
  <si>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</si>
  <si>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</si>
  <si>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</si>
  <si>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</si>
  <si>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</si>
  <si>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</si>
  <si>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</si>
  <si>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</si>
  <si>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</si>
  <si>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</si>
  <si>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</si>
  <si>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</si>
  <si>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</si>
  <si>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</si>
  <si>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</si>
  <si>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</si>
  <si>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</si>
  <si>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</si>
  <si>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</si>
  <si>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</si>
  <si>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</si>
  <si>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</si>
  <si>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</si>
  <si>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</si>
  <si>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</si>
  <si>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</si>
  <si>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</si>
  <si>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</si>
  <si>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</si>
  <si>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</si>
  <si>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</si>
  <si>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</si>
  <si>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</si>
  <si>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</si>
  <si>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</si>
  <si>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</si>
  <si>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</si>
  <si>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</si>
  <si>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</si>
  <si>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</si>
  <si>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</si>
  <si>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</si>
  <si>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</si>
  <si>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</si>
  <si>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</si>
  <si>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</si>
  <si>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</si>
  <si>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</si>
  <si>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</si>
  <si>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</si>
  <si>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</si>
  <si>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</si>
  <si>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</si>
  <si>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</si>
  <si>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</si>
  <si>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</si>
  <si>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</si>
  <si>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</si>
  <si>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</si>
  <si>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</si>
  <si>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</si>
  <si>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</si>
  <si>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</si>
  <si>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</si>
  <si>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</si>
  <si>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</si>
  <si>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</si>
  <si>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</si>
  <si>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</si>
  <si>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</si>
  <si>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</si>
  <si>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</si>
  <si>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</si>
  <si>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</si>
  <si>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</si>
  <si>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</si>
  <si>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</si>
  <si>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</si>
  <si>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</si>
  <si>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</si>
  <si>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</si>
  <si>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</si>
  <si>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</si>
  <si>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</si>
  <si>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</si>
  <si>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</si>
  <si>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</si>
  <si>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</si>
  <si>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</si>
  <si>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</si>
  <si>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</si>
  <si>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</si>
  <si>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</si>
  <si>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</si>
  <si>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</si>
  <si>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</si>
  <si>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</si>
  <si>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</si>
  <si>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</si>
  <si>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</si>
  <si>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</si>
  <si>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</si>
  <si>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</si>
  <si>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</si>
  <si>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</si>
  <si>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</si>
  <si>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</si>
  <si>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</si>
  <si>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</si>
  <si>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</si>
  <si>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</si>
  <si>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</si>
  <si>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</si>
  <si>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</si>
  <si>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</si>
  <si>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</si>
  <si>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</si>
  <si>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</si>
  <si>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</si>
  <si>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</si>
  <si>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</si>
  <si>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</si>
  <si>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</si>
  <si>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</si>
  <si>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</si>
  <si>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</si>
  <si>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</si>
  <si>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</si>
  <si>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</si>
  <si>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</si>
  <si>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</si>
  <si>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</si>
  <si>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</si>
  <si>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</si>
  <si>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</si>
  <si>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</si>
  <si>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</si>
  <si>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</si>
  <si>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</si>
  <si>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</si>
  <si>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</si>
  <si>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</si>
  <si>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</si>
  <si>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</si>
  <si>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</si>
  <si>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</si>
  <si>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</si>
  <si>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</si>
  <si>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</si>
  <si>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</si>
  <si>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</si>
  <si>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</si>
  <si>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</si>
  <si>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</si>
  <si>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</si>
  <si>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</si>
  <si>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</si>
  <si>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</si>
  <si>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</si>
  <si>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</si>
  <si>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</si>
  <si>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</si>
  <si>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</si>
  <si>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</si>
  <si>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</si>
  <si>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</si>
  <si>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</si>
  <si>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</si>
  <si>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</si>
  <si>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</si>
  <si>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</si>
  <si>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</si>
  <si>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</si>
  <si>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</si>
  <si>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</si>
  <si>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</si>
  <si>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</si>
  <si>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</si>
  <si>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</si>
  <si>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</si>
  <si>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</si>
  <si>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</si>
  <si>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</si>
  <si>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</si>
  <si>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</si>
  <si>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</si>
  <si>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</si>
  <si>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</si>
  <si>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</si>
  <si>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</si>
  <si>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</si>
  <si>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</si>
  <si>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</si>
  <si>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</si>
  <si>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</si>
  <si>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</si>
  <si>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</si>
  <si>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</si>
  <si>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</si>
  <si>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</si>
  <si>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</si>
  <si>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</si>
  <si>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</si>
  <si>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</si>
  <si>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</si>
  <si>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</si>
  <si>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</si>
  <si>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</si>
  <si>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</si>
  <si>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</si>
  <si>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</si>
  <si>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</si>
  <si>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</si>
  <si>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</si>
  <si>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</si>
  <si>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</si>
  <si>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</si>
  <si>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</si>
  <si>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</si>
  <si>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</si>
  <si>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</si>
  <si>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</si>
  <si>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</si>
  <si>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</si>
  <si>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</si>
  <si>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</si>
  <si>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</si>
  <si>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</si>
  <si>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</si>
  <si>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</si>
  <si>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</si>
  <si>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</si>
  <si>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</si>
  <si>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</si>
  <si>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</si>
  <si>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</si>
  <si>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</si>
  <si>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</si>
  <si>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</si>
  <si>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</si>
  <si>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</si>
  <si>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</si>
  <si>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</si>
  <si>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</si>
  <si>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</si>
  <si>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</si>
  <si>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</si>
  <si>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</si>
  <si>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</si>
  <si>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</si>
  <si>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</si>
  <si>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</si>
  <si>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</si>
  <si>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</si>
  <si>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</si>
  <si>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</si>
  <si>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</si>
  <si>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</si>
  <si>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</si>
  <si>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</si>
  <si>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</si>
  <si>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</si>
  <si>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</si>
  <si>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</si>
  <si>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</si>
  <si>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</si>
  <si>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</si>
  <si>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</si>
  <si>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</si>
  <si>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</si>
  <si>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</si>
  <si>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</si>
  <si>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</si>
  <si>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</si>
  <si>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</si>
  <si>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</si>
  <si>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</si>
  <si>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</si>
  <si>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</si>
  <si>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</si>
  <si>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</si>
  <si>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</si>
  <si>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</si>
  <si>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</si>
  <si>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</si>
  <si>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</si>
  <si>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</si>
  <si>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</si>
  <si>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</si>
  <si>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</si>
  <si>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</si>
  <si>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</si>
  <si>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</si>
  <si>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</si>
  <si>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</si>
  <si>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</si>
  <si>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</si>
  <si>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</si>
  <si>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</si>
  <si>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</si>
  <si>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</si>
  <si>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</si>
  <si>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</si>
  <si>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</si>
  <si>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</si>
  <si>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</si>
  <si>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</si>
  <si>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</si>
  <si>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</si>
  <si>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</si>
  <si>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</si>
  <si>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</si>
  <si>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</si>
  <si>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</si>
  <si>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</si>
  <si>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</si>
  <si>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</si>
  <si>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</si>
  <si>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</si>
  <si>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</si>
  <si>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</si>
  <si>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</si>
  <si>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</si>
  <si>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</si>
  <si>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</si>
  <si>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</si>
  <si>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</si>
  <si>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</si>
  <si>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</si>
  <si>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</si>
  <si>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</si>
  <si>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</si>
  <si>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</si>
  <si>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</si>
  <si>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</si>
  <si>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</si>
  <si>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</si>
  <si>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</si>
  <si>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</si>
  <si>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</si>
  <si>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</si>
  <si>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</si>
  <si>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</si>
  <si>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</si>
  <si>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</si>
  <si>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</si>
  <si>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</si>
  <si>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</si>
  <si>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</si>
  <si>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</si>
  <si>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</si>
  <si>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</si>
  <si>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</si>
  <si>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</si>
  <si>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</si>
  <si>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</si>
  <si>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</si>
  <si>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</si>
  <si>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</si>
  <si>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</si>
  <si>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</si>
  <si>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</si>
  <si>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</si>
  <si>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</si>
  <si>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</si>
  <si>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</si>
  <si>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</si>
  <si>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</si>
  <si>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</si>
  <si>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</si>
  <si>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</si>
  <si>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</si>
  <si>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</si>
  <si>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</si>
  <si>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</si>
  <si>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</si>
  <si>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</si>
  <si>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</si>
  <si>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</si>
  <si>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</si>
  <si>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</si>
  <si>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</si>
  <si>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</si>
  <si>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</si>
  <si>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</si>
  <si>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</si>
  <si>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</si>
  <si>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</si>
  <si>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</si>
  <si>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</si>
  <si>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</si>
  <si>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</si>
  <si>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</si>
  <si>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</si>
  <si>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</si>
  <si>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</si>
  <si>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</si>
  <si>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</si>
  <si>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</si>
  <si>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</si>
  <si>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</si>
  <si>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</si>
  <si>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</si>
  <si>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</si>
  <si>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</si>
  <si>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</si>
  <si>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</si>
  <si>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</si>
  <si>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</si>
  <si>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</si>
  <si>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</si>
  <si>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</si>
  <si>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</si>
  <si>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</si>
  <si>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</si>
  <si>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</si>
  <si>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</si>
  <si>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</si>
  <si>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</si>
  <si>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</si>
  <si>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</si>
  <si>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</si>
  <si>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</si>
  <si>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</si>
  <si>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</si>
  <si>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</si>
  <si>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</si>
  <si>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</si>
  <si>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</si>
  <si>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</si>
  <si>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</si>
  <si>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</si>
  <si>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</si>
  <si>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</si>
  <si>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</si>
  <si>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</si>
  <si>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</si>
  <si>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</si>
  <si>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</si>
  <si>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</si>
  <si>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</si>
  <si>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</si>
  <si>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</si>
  <si>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</si>
  <si>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</si>
  <si>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</si>
  <si>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</si>
  <si>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</si>
  <si>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</si>
  <si>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</si>
  <si>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</si>
  <si>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</si>
  <si>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</si>
  <si>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</si>
  <si>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</si>
  <si>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</si>
  <si>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</si>
  <si>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</si>
  <si>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</si>
  <si>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</si>
  <si>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</si>
  <si>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</si>
  <si>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</si>
  <si>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</si>
  <si>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</si>
  <si>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</si>
  <si>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</si>
  <si>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</si>
  <si>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</si>
  <si>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</si>
  <si>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</si>
  <si>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</si>
  <si>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</si>
  <si>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</si>
  <si>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</si>
  <si>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</si>
  <si>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</si>
  <si>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</si>
  <si>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</si>
  <si>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</si>
  <si>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</si>
  <si>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</si>
  <si>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</si>
  <si>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</si>
  <si>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</si>
  <si>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</si>
  <si>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</si>
  <si>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</si>
  <si>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</si>
  <si>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</si>
  <si>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</si>
  <si>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</si>
  <si>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</si>
  <si>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</si>
  <si>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</si>
  <si>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</si>
  <si>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</si>
  <si>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</si>
  <si>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</si>
  <si>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</si>
  <si>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</si>
  <si>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</si>
  <si>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</si>
  <si>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</si>
  <si>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</si>
  <si>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</si>
  <si>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</si>
  <si>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</si>
  <si>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</si>
  <si>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</si>
  <si>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</si>
  <si>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</si>
  <si>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</si>
  <si>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</si>
  <si>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</si>
  <si>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</si>
  <si>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</si>
  <si>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</si>
  <si>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</si>
  <si>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</si>
  <si>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</si>
  <si>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</si>
  <si>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</si>
  <si>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</si>
  <si>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</si>
  <si>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</si>
  <si>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</si>
  <si>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</si>
  <si>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</si>
  <si>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</si>
  <si>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</si>
  <si>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</si>
  <si>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</si>
  <si>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</si>
  <si>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</si>
  <si>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</si>
  <si>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</si>
  <si>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</si>
  <si>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</si>
  <si>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</si>
  <si>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</si>
  <si>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</si>
  <si>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</si>
  <si>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</si>
  <si>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</si>
  <si>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</si>
  <si>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</si>
  <si>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</si>
  <si>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</si>
  <si>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</si>
  <si>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</si>
  <si>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</si>
  <si>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</si>
  <si>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</si>
  <si>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</si>
  <si>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</si>
  <si>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</si>
  <si>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</si>
  <si>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</si>
  <si>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</si>
  <si>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</si>
  <si>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</si>
  <si>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</si>
  <si>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</si>
  <si>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</si>
  <si>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</si>
  <si>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</si>
  <si>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</si>
  <si>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</si>
  <si>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</si>
  <si>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</si>
  <si>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</si>
  <si>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</si>
  <si>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</si>
  <si>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</si>
  <si>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</si>
  <si>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</si>
  <si>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</si>
  <si>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</si>
  <si>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</si>
  <si>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</si>
  <si>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</si>
  <si>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</si>
  <si>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</si>
  <si>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</si>
  <si>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</si>
  <si>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</si>
  <si>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</si>
  <si>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</si>
  <si>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</si>
  <si>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</si>
  <si>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</si>
  <si>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</si>
  <si>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</si>
  <si>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</si>
  <si>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</si>
  <si>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</si>
  <si>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</si>
  <si>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</si>
  <si>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</si>
  <si>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</si>
  <si>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</si>
  <si>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</si>
  <si>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</si>
  <si>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</si>
  <si>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</si>
  <si>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</si>
  <si>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</si>
  <si>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</si>
  <si>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</si>
  <si>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</si>
  <si>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</si>
  <si>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</si>
  <si>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</si>
  <si>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</si>
  <si>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</si>
  <si>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</si>
  <si>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</si>
  <si>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</si>
  <si>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</si>
  <si>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</si>
  <si>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</si>
  <si>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</si>
  <si>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</si>
  <si>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</si>
  <si>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</si>
  <si>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</si>
  <si>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</si>
  <si>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</si>
  <si>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</si>
  <si>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</si>
  <si>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</si>
  <si>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</si>
  <si>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</si>
  <si>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</si>
  <si>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</si>
  <si>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</si>
  <si>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</si>
  <si>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</si>
  <si>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</si>
  <si>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</si>
  <si>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</si>
  <si>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</si>
  <si>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</si>
  <si>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</si>
  <si>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</si>
  <si>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</si>
  <si>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</si>
  <si>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</si>
  <si>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</si>
  <si>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</si>
  <si>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</si>
  <si>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</si>
  <si>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</si>
  <si>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</si>
  <si>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</si>
  <si>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</si>
  <si>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</si>
  <si>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</si>
  <si>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</si>
  <si>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</si>
  <si>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</si>
  <si>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</si>
  <si>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</si>
  <si>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</si>
  <si>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</si>
  <si>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</si>
  <si>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</si>
  <si>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</si>
  <si>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</si>
  <si>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</si>
  <si>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</si>
  <si>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</si>
  <si>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</si>
  <si>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</si>
  <si>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</si>
  <si>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</si>
  <si>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</si>
  <si>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</si>
  <si>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</si>
  <si>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</si>
  <si>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</si>
  <si>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</si>
  <si>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</si>
  <si>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</si>
  <si>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</si>
  <si>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</si>
  <si>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</si>
  <si>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</si>
  <si>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</si>
  <si>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</si>
  <si>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</si>
  <si>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</si>
  <si>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</si>
  <si>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</si>
  <si>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</si>
  <si>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</si>
  <si>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</si>
  <si>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</si>
  <si>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</si>
  <si>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</si>
  <si>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</si>
  <si>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</si>
  <si>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</si>
  <si>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</si>
  <si>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</si>
  <si>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</si>
  <si>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</si>
  <si>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</si>
  <si>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</si>
  <si>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</si>
  <si>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</si>
  <si>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</si>
  <si>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</si>
  <si>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</si>
  <si>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</si>
  <si>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</si>
  <si>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</si>
  <si>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</si>
  <si>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</si>
  <si>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</si>
  <si>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</si>
  <si>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</si>
  <si>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</si>
  <si>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</si>
  <si>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</si>
  <si>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</si>
  <si>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</si>
  <si>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</si>
  <si>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</si>
  <si>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</si>
  <si>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</si>
  <si>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</si>
  <si>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</si>
  <si>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</si>
  <si>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</si>
  <si>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</si>
  <si>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</si>
  <si>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</si>
  <si>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</si>
  <si>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</si>
  <si>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</si>
  <si>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</si>
  <si>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</si>
  <si>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</si>
  <si>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</si>
  <si>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</si>
  <si>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</si>
  <si>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</si>
  <si>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</si>
  <si>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</si>
  <si>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</si>
  <si>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</si>
  <si>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</si>
  <si>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</si>
  <si>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</si>
  <si>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</si>
  <si>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</si>
  <si>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</si>
  <si>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</si>
  <si>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</si>
  <si>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</si>
  <si>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</si>
  <si>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</si>
  <si>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</si>
  <si>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</si>
  <si>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</si>
  <si>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</si>
  <si>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</si>
  <si>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</si>
  <si>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</si>
  <si>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</si>
  <si>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</si>
  <si>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</si>
  <si>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</si>
  <si>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</si>
  <si>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</si>
  <si>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</si>
  <si>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</si>
  <si>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</si>
  <si>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</si>
  <si>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</si>
  <si>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</si>
  <si>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</si>
  <si>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</si>
  <si>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</si>
  <si>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</si>
  <si>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</si>
  <si>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</si>
  <si>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</si>
  <si>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</si>
  <si>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</si>
  <si>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</si>
  <si>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</si>
  <si>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</si>
  <si>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</si>
  <si>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</si>
  <si>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</si>
  <si>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</si>
  <si>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</si>
  <si>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</si>
  <si>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</si>
  <si>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</si>
  <si>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</si>
  <si>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</si>
  <si>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</si>
  <si>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</si>
  <si>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</si>
  <si>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</si>
  <si>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</si>
  <si>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</si>
  <si>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</si>
  <si>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</si>
  <si>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</si>
  <si>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</si>
  <si>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</si>
  <si>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</si>
  <si>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</si>
  <si>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</si>
  <si>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</si>
  <si>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</si>
  <si>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</si>
  <si>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</si>
  <si>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</si>
  <si>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</si>
  <si>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</si>
  <si>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</si>
  <si>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</si>
  <si>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</si>
  <si>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</si>
  <si>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</si>
  <si>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</si>
  <si>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</si>
  <si>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</si>
  <si>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</si>
  <si>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</si>
  <si>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</si>
  <si>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</si>
  <si>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</si>
  <si>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</si>
  <si>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</si>
  <si>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</si>
  <si>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</si>
  <si>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</si>
  <si>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</si>
  <si>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</si>
  <si>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</si>
  <si>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</si>
  <si>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</si>
  <si>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</si>
  <si>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</si>
  <si>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</si>
  <si>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</si>
  <si>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</si>
  <si>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</si>
  <si>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</si>
  <si>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</si>
  <si>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</si>
  <si>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</si>
  <si>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</si>
  <si>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</si>
  <si>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</si>
  <si>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</si>
  <si>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</si>
  <si>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</si>
  <si>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</si>
  <si>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</si>
  <si>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</si>
  <si>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</si>
  <si>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</si>
  <si>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</si>
  <si>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</si>
  <si>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</si>
  <si>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</si>
  <si>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</si>
  <si>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</si>
  <si>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</si>
  <si>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</si>
  <si>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</si>
  <si>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</si>
  <si>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</si>
  <si>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</si>
  <si>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</si>
  <si>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</si>
  <si>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</si>
  <si>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</si>
  <si>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</si>
  <si>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</si>
  <si>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</si>
  <si>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</si>
  <si>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</si>
  <si>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</si>
  <si>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</si>
  <si>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</si>
  <si>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</si>
  <si>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</si>
  <si>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</si>
  <si>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</si>
  <si>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</si>
  <si>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</si>
  <si>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</si>
  <si>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</si>
  <si>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</si>
  <si>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</si>
  <si>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</si>
  <si>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</si>
  <si>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</si>
  <si>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</si>
  <si>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</si>
  <si>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</si>
  <si>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</si>
  <si>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</si>
  <si>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</si>
  <si>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</si>
  <si>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</si>
  <si>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</si>
  <si>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</si>
  <si>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</si>
  <si>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</si>
  <si>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</si>
  <si>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</si>
  <si>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</si>
  <si>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</si>
  <si>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</si>
  <si>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</si>
  <si>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</si>
  <si>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</si>
  <si>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</si>
  <si>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</si>
  <si>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</si>
  <si>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</si>
  <si>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</si>
  <si>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</si>
  <si>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</si>
  <si>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</si>
  <si>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</si>
  <si>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</si>
  <si>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</si>
  <si>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</si>
  <si>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</si>
  <si>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</si>
  <si>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</si>
  <si>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</si>
  <si>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</si>
  <si>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</si>
  <si>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</si>
  <si>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</si>
  <si>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</si>
  <si>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</si>
  <si>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</si>
  <si>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</si>
  <si>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</si>
  <si>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</si>
  <si>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</si>
  <si>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</si>
  <si>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</si>
  <si>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</si>
  <si>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</si>
  <si>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</si>
  <si>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</si>
  <si>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</si>
  <si>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</si>
  <si>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</si>
  <si>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</si>
  <si>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</si>
  <si>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</si>
  <si>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</si>
  <si>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</si>
  <si>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</si>
  <si>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</si>
  <si>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</si>
  <si>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</si>
  <si>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</si>
  <si>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</si>
  <si>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</si>
  <si>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</si>
  <si>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</si>
  <si>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</si>
  <si>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</si>
  <si>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</si>
  <si>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</si>
  <si>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</si>
  <si>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</si>
  <si>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</si>
  <si>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</si>
  <si>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</si>
  <si>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</si>
  <si>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</si>
  <si>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</si>
  <si>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</si>
  <si>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</si>
  <si>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</si>
  <si>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</si>
  <si>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</si>
  <si>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</si>
  <si>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</si>
  <si>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</si>
  <si>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</si>
  <si>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</si>
  <si>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</si>
  <si>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</si>
  <si>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</si>
  <si>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</si>
  <si>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</si>
  <si>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</si>
  <si>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</si>
  <si>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</si>
  <si>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</si>
  <si>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</si>
  <si>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</si>
  <si>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</si>
  <si>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</si>
  <si>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</si>
  <si>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</si>
  <si>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</si>
  <si>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</si>
  <si>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</si>
  <si>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</si>
  <si>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</si>
  <si>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</si>
  <si>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</si>
  <si>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</si>
  <si>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</si>
  <si>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</si>
  <si>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</si>
  <si>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</si>
  <si>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</si>
  <si>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</si>
  <si>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</si>
  <si>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</si>
  <si>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</si>
  <si>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</si>
  <si>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</si>
  <si>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</si>
  <si>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</si>
  <si>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</si>
  <si>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</si>
  <si>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</si>
  <si>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</si>
  <si>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</si>
  <si>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</si>
  <si>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</si>
  <si>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</si>
  <si>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</si>
  <si>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</si>
  <si>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</si>
  <si>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</si>
  <si>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</si>
  <si>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</si>
  <si>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</si>
  <si>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</si>
  <si>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</si>
  <si>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</si>
  <si>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</si>
  <si>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</si>
  <si>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</si>
  <si>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</si>
  <si>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</si>
  <si>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</si>
  <si>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</si>
  <si>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</si>
  <si>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</si>
  <si>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</si>
  <si>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</si>
  <si>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</si>
  <si>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</si>
  <si>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</si>
  <si>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</si>
  <si>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</si>
  <si>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</si>
  <si>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</si>
  <si>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</si>
  <si>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</si>
  <si>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</si>
  <si>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</si>
  <si>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</si>
  <si>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</si>
  <si>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</si>
  <si>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</si>
  <si>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</si>
  <si>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</si>
  <si>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</si>
  <si>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</si>
  <si>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</si>
  <si>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</si>
  <si>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</si>
  <si>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</si>
  <si>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</si>
  <si>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</si>
  <si>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</si>
  <si>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</si>
  <si>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</si>
  <si>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</si>
  <si>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</si>
  <si>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</si>
  <si>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</si>
  <si>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</si>
  <si>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</si>
  <si>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</si>
  <si>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</si>
  <si>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</si>
  <si>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</si>
  <si>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</si>
  <si>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</si>
  <si>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</si>
  <si>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</si>
  <si>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</si>
  <si>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</si>
  <si>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</si>
  <si>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</si>
  <si>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</si>
  <si>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</si>
  <si>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</si>
  <si>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</si>
  <si>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</si>
  <si>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</si>
  <si>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</si>
  <si>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</si>
  <si>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</si>
  <si>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</si>
  <si>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</si>
  <si>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</si>
  <si>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</si>
  <si>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</si>
  <si>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</si>
  <si>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</si>
  <si>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</si>
  <si>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</si>
  <si>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</si>
  <si>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</si>
  <si>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</si>
  <si>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</si>
  <si>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</si>
  <si>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</si>
  <si>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</si>
  <si>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</si>
  <si>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</si>
  <si>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</si>
  <si>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</si>
  <si>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</si>
  <si>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</si>
  <si>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</si>
  <si>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</si>
  <si>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</si>
  <si>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</si>
  <si>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</si>
  <si>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</si>
  <si>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</si>
  <si>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</si>
  <si>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</si>
  <si>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</si>
  <si>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</si>
  <si>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</si>
  <si>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</si>
  <si>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</si>
  <si>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</si>
  <si>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</si>
  <si>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</si>
  <si>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</si>
  <si>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</si>
  <si>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</si>
  <si>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</si>
  <si>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</si>
  <si>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</si>
  <si>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</si>
  <si>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</si>
  <si>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</si>
  <si>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</si>
  <si>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</si>
  <si>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</si>
  <si>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</si>
  <si>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</si>
  <si>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</si>
  <si>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</si>
  <si>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</si>
  <si>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</si>
  <si>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</si>
  <si>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</si>
  <si>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</si>
  <si>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</si>
  <si>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</si>
  <si>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</si>
  <si>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</si>
  <si>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</si>
  <si>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</si>
  <si>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</si>
  <si>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</si>
  <si>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</si>
  <si>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</si>
  <si>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</si>
  <si>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</si>
  <si>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</si>
  <si>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</si>
  <si>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</si>
  <si>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</si>
  <si>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</si>
  <si>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</si>
  <si>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</si>
  <si>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</si>
  <si>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</si>
  <si>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</si>
  <si>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</si>
  <si>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</si>
  <si>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</si>
  <si>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</si>
  <si>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</si>
  <si>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</si>
  <si>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</si>
  <si>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</si>
  <si>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</si>
  <si>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</si>
  <si>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</si>
  <si>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</si>
  <si>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</si>
  <si>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</si>
  <si>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</si>
  <si>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</si>
  <si>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</si>
  <si>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</si>
  <si>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</si>
  <si>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</si>
  <si>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</si>
  <si>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</si>
  <si>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</si>
  <si>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</si>
  <si>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</si>
  <si>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</si>
  <si>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</si>
  <si>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</si>
  <si>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</si>
  <si>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</si>
  <si>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</si>
  <si>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</si>
  <si>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</si>
  <si>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</si>
  <si>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</si>
  <si>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</si>
  <si>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</si>
  <si>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</si>
  <si>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</si>
  <si>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</si>
  <si>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</si>
  <si>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</si>
  <si>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</si>
  <si>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</si>
  <si>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</si>
  <si>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</si>
  <si>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</si>
  <si>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</si>
  <si>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</si>
  <si>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</si>
  <si>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</si>
  <si>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</si>
  <si>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</si>
  <si>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</si>
  <si>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</si>
  <si>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</si>
  <si>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</si>
  <si>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</si>
  <si>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</si>
  <si>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</si>
  <si>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</si>
  <si>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</si>
  <si>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</si>
  <si>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</si>
  <si>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</si>
  <si>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</si>
  <si>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</si>
  <si>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</si>
  <si>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</si>
  <si>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</si>
  <si>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</si>
  <si>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</si>
  <si>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</si>
  <si>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</si>
  <si>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</si>
  <si>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</si>
  <si>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</si>
  <si>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</si>
  <si>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</si>
  <si>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</si>
  <si>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</si>
  <si>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</si>
  <si>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</si>
  <si>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</si>
  <si>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</si>
  <si>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</si>
  <si>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</si>
  <si>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</si>
  <si>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</si>
  <si>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</si>
  <si>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</si>
  <si>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</si>
  <si>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</si>
  <si>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</si>
  <si>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</si>
  <si>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</si>
  <si>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</si>
  <si>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</si>
  <si>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</si>
  <si>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</si>
  <si>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</si>
  <si>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</si>
  <si>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</si>
  <si>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</si>
  <si>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</si>
  <si>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</si>
  <si>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</si>
  <si>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</si>
  <si>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</si>
  <si>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</si>
  <si>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</si>
  <si>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</si>
  <si>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</si>
  <si>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</si>
  <si>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</si>
  <si>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</si>
  <si>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</si>
  <si>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</si>
  <si>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</si>
  <si>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</si>
  <si>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</si>
  <si>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</si>
  <si>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</si>
  <si>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</si>
  <si>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</si>
  <si>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</si>
  <si>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</si>
  <si>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</si>
  <si>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</si>
  <si>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</si>
  <si>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</si>
  <si>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</si>
  <si>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</si>
  <si>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</si>
  <si>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</si>
  <si>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</si>
  <si>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</si>
  <si>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</si>
  <si>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</si>
  <si>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</si>
  <si>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</si>
  <si>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</si>
  <si>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</si>
  <si>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</si>
  <si>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</si>
  <si>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</si>
  <si>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</si>
  <si>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</si>
  <si>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</si>
  <si>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</si>
  <si>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</si>
  <si>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</si>
  <si>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</si>
  <si>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</si>
  <si>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</si>
  <si>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</si>
  <si>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</si>
  <si>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</si>
  <si>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</si>
  <si>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</si>
  <si>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</si>
  <si>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</si>
  <si>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</si>
  <si>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</si>
  <si>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</si>
  <si>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</si>
  <si>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</si>
  <si>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</si>
  <si>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</si>
  <si>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</si>
  <si>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</si>
  <si>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</si>
  <si>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</si>
  <si>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</si>
  <si>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</si>
  <si>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</si>
  <si>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</si>
  <si>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</si>
  <si>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</si>
  <si>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</si>
  <si>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</si>
  <si>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</si>
  <si>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</si>
  <si>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</si>
  <si>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</si>
  <si>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</si>
  <si>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</si>
  <si>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</si>
  <si>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</si>
  <si>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</si>
  <si>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</si>
  <si>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</si>
  <si>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</si>
  <si>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</si>
  <si>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</si>
  <si>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</si>
  <si>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</si>
  <si>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</si>
  <si>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</si>
  <si>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</si>
  <si>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</si>
  <si>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</si>
  <si>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</si>
  <si>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</si>
  <si>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</si>
  <si>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</si>
  <si>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</si>
  <si>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</si>
  <si>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</si>
  <si>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</si>
  <si>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</si>
  <si>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</si>
  <si>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</si>
  <si>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</si>
  <si>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</si>
  <si>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</si>
  <si>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</si>
  <si>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</si>
  <si>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</si>
  <si>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</si>
  <si>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</si>
  <si>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</si>
  <si>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</si>
  <si>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</si>
  <si>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</si>
  <si>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</si>
  <si>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</si>
  <si>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</si>
  <si>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</si>
  <si>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</si>
  <si>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</si>
  <si>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</si>
  <si>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</si>
  <si>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</si>
  <si>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</si>
  <si>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</si>
  <si>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</si>
  <si>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</si>
  <si>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</si>
  <si>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</si>
  <si>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</si>
  <si>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</si>
  <si>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</si>
  <si>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</si>
  <si>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</si>
  <si>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</si>
  <si>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</si>
  <si>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</si>
  <si>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</si>
  <si>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</si>
  <si>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</si>
  <si>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</si>
  <si>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</si>
  <si>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</si>
  <si>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</si>
  <si>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</si>
  <si>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</si>
  <si>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</si>
  <si>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</si>
  <si>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</si>
  <si>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</si>
  <si>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</si>
  <si>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</si>
  <si>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</si>
  <si>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</si>
  <si>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</si>
  <si>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</si>
  <si>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</si>
  <si>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</si>
  <si>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</si>
  <si>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</si>
  <si>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</si>
  <si>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</si>
  <si>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</si>
  <si>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</si>
  <si>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</si>
  <si>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</si>
  <si>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</si>
  <si>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</si>
  <si>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</si>
  <si>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</si>
  <si>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</si>
  <si>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</si>
  <si>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</si>
  <si>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</si>
  <si>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</si>
  <si>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</si>
  <si>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</si>
  <si>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</si>
  <si>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</si>
  <si>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</si>
  <si>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</si>
  <si>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</si>
  <si>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</si>
  <si>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</si>
  <si>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</si>
  <si>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</si>
  <si>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</si>
  <si>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</si>
  <si>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</si>
  <si>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</si>
  <si>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</si>
  <si>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</si>
  <si>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</si>
  <si>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</si>
  <si>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</si>
  <si>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</si>
  <si>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</si>
  <si>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</si>
  <si>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</si>
  <si>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</si>
  <si>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</si>
  <si>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</si>
  <si>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</si>
  <si>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</si>
  <si>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</si>
  <si>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</si>
  <si>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</si>
  <si>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</si>
  <si>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</si>
  <si>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</si>
  <si>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</si>
  <si>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</si>
  <si>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</si>
  <si>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</si>
  <si>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</si>
  <si>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</si>
  <si>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</si>
  <si>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</si>
  <si>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</si>
  <si>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</si>
  <si>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</si>
  <si>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</si>
  <si>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</si>
  <si>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</si>
  <si>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</si>
  <si>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</si>
  <si>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</si>
  <si>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</si>
  <si>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</si>
  <si>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</si>
  <si>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</si>
  <si>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</si>
  <si>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</si>
  <si>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</si>
  <si>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</si>
  <si>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</si>
  <si>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</si>
  <si>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</si>
  <si>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</si>
  <si>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</si>
  <si>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</si>
  <si>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</si>
  <si>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</si>
  <si>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</si>
  <si>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</si>
  <si>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</si>
  <si>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</si>
  <si>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</si>
  <si>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</si>
  <si>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</si>
  <si>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</si>
  <si>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</si>
  <si>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</si>
  <si>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</si>
  <si>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</si>
  <si>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</si>
  <si>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</si>
  <si>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</si>
  <si>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</si>
  <si>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</si>
  <si>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</si>
  <si>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</si>
  <si>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</si>
  <si>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</si>
  <si>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</si>
  <si>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</si>
  <si>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</si>
  <si>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</si>
  <si>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</si>
  <si>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</si>
  <si>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</si>
  <si>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</si>
  <si>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</si>
  <si>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</si>
  <si>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</si>
  <si>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</si>
  <si>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</si>
  <si>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</si>
  <si>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</si>
  <si>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</si>
  <si>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</si>
  <si>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</si>
  <si>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</si>
  <si>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</si>
  <si>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</si>
  <si>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</si>
  <si>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</si>
  <si>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</si>
  <si>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</si>
  <si>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</si>
  <si>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</si>
  <si>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</si>
  <si>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</si>
  <si>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</si>
  <si>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</si>
  <si>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</si>
  <si>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</si>
  <si>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</si>
  <si>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</si>
  <si>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</si>
  <si>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</si>
  <si>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</si>
  <si>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</si>
  <si>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</si>
  <si>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</si>
  <si>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</si>
  <si>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</si>
  <si>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</si>
  <si>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</si>
  <si>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</si>
  <si>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</si>
  <si>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</si>
  <si>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</si>
  <si>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</si>
  <si>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</si>
  <si>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</si>
  <si>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</si>
  <si>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</si>
  <si>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</si>
  <si>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</si>
  <si>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</si>
  <si>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</si>
  <si>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</si>
  <si>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</si>
  <si>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</si>
  <si>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</si>
  <si>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</si>
  <si>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</si>
  <si>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</si>
  <si>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</si>
  <si>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</si>
  <si>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</si>
  <si>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</si>
  <si>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</si>
  <si>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</si>
  <si>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</si>
  <si>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</si>
  <si>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</si>
  <si>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</si>
  <si>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</si>
  <si>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</si>
  <si>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</si>
  <si>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</si>
  <si>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</si>
  <si>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</si>
  <si>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</si>
  <si>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</si>
  <si>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</si>
  <si>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</si>
  <si>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</si>
  <si>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</si>
  <si>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</si>
  <si>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</si>
  <si>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</si>
  <si>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</si>
  <si>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</si>
  <si>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</si>
  <si>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</si>
  <si>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</si>
  <si>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</si>
  <si>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</si>
  <si>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</si>
  <si>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</si>
  <si>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</si>
  <si>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</si>
  <si>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</si>
  <si>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</si>
  <si>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</si>
  <si>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</si>
  <si>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</si>
  <si>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</si>
  <si>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</si>
  <si>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</si>
  <si>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</si>
  <si>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</si>
  <si>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</si>
  <si>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</si>
  <si>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</si>
  <si>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</si>
  <si>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</si>
  <si>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</si>
  <si>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</si>
  <si>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</si>
  <si>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</si>
  <si>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</si>
  <si>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</si>
  <si>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</si>
  <si>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</si>
  <si>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</si>
  <si>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</si>
  <si>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</si>
  <si>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</si>
  <si>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</si>
  <si>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</si>
  <si>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</si>
  <si>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</si>
  <si>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</si>
  <si>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</si>
  <si>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</si>
  <si>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</si>
  <si>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</si>
  <si>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</si>
  <si>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</si>
  <si>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</si>
  <si>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</si>
  <si>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</si>
  <si>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</si>
  <si>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</si>
  <si>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</si>
  <si>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</si>
  <si>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</si>
  <si>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</si>
  <si>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</si>
  <si>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</si>
  <si>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</si>
  <si>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</si>
  <si>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</si>
  <si>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</si>
  <si>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</si>
  <si>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</si>
  <si>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</si>
  <si>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</si>
  <si>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</si>
  <si>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</si>
  <si>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</si>
  <si>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</si>
  <si>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</si>
  <si>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</si>
  <si>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</si>
  <si>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</si>
  <si>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</si>
  <si>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</si>
  <si>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</si>
  <si>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</si>
  <si>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</si>
  <si>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</si>
  <si>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</si>
  <si>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</si>
  <si>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</si>
  <si>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</si>
  <si>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</si>
  <si>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</si>
  <si>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</si>
  <si>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</si>
  <si>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</si>
  <si>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</si>
  <si>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</si>
  <si>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</si>
  <si>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</si>
  <si>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</si>
  <si>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</si>
  <si>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</si>
  <si>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</si>
  <si>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</si>
  <si>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</si>
  <si>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</si>
  <si>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</si>
  <si>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</si>
  <si>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</si>
  <si>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</si>
  <si>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</si>
  <si>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</si>
  <si>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</si>
  <si>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</si>
  <si>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</si>
  <si>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</si>
  <si>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</si>
  <si>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</si>
  <si>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</si>
  <si>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</si>
  <si>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</si>
  <si>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</si>
  <si>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</si>
  <si>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</si>
  <si>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</si>
  <si>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</si>
  <si>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</si>
  <si>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</si>
  <si>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</si>
  <si>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</si>
  <si>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</si>
  <si>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</si>
  <si>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</si>
  <si>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</si>
  <si>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</si>
  <si>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</si>
  <si>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</si>
  <si>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</si>
  <si>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</si>
  <si>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</si>
  <si>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</si>
  <si>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</si>
  <si>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</si>
  <si>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</si>
  <si>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</si>
  <si>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</si>
  <si>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</si>
  <si>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</si>
  <si>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</si>
  <si>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</si>
  <si>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</si>
  <si>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</si>
  <si>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</si>
  <si>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</si>
  <si>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</si>
  <si>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</si>
  <si>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</si>
  <si>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</si>
  <si>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</si>
  <si>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</si>
  <si>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</si>
  <si>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</si>
  <si>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</si>
  <si>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</si>
  <si>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</si>
  <si>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</si>
  <si>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</si>
  <si>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</si>
  <si>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</si>
  <si>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</si>
  <si>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</si>
  <si>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</si>
  <si>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</si>
  <si>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</si>
  <si>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</si>
  <si>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</si>
  <si>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</si>
  <si>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</si>
  <si>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</si>
  <si>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</si>
  <si>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</si>
  <si>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</si>
  <si>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</si>
  <si>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</si>
  <si>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</si>
  <si>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</si>
  <si>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</si>
  <si>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</si>
  <si>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</si>
  <si>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</si>
  <si>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</si>
  <si>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</si>
  <si>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</si>
  <si>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</si>
  <si>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</si>
  <si>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</si>
  <si>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</si>
  <si>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</si>
  <si>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</si>
  <si>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</si>
  <si>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</si>
  <si>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</si>
  <si>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</si>
  <si>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</si>
  <si>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</si>
  <si>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</si>
  <si>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</si>
  <si>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</si>
  <si>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</si>
  <si>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</si>
  <si>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</si>
  <si>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</si>
  <si>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</si>
  <si>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</si>
  <si>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</si>
  <si>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</si>
  <si>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</si>
  <si>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</si>
  <si>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</si>
  <si>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</si>
  <si>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</si>
  <si>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</si>
  <si>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</si>
  <si>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</si>
  <si>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</si>
  <si>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</si>
  <si>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</si>
  <si>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</si>
  <si>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</si>
  <si>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</si>
  <si>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</si>
  <si>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</si>
  <si>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</si>
  <si>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</si>
  <si>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</si>
  <si>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</si>
  <si>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</si>
  <si>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</si>
  <si>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</si>
  <si>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</si>
  <si>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</si>
  <si>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</si>
  <si>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</si>
  <si>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</si>
  <si>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</si>
  <si>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</si>
  <si>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</si>
  <si>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</si>
  <si>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</si>
  <si>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</si>
  <si>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</si>
  <si>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</si>
  <si>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</si>
  <si>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</si>
  <si>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</si>
  <si>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</si>
  <si>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</si>
  <si>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</si>
  <si>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</si>
  <si>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</si>
  <si>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</si>
  <si>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</si>
  <si>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</si>
  <si>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</si>
  <si>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</si>
  <si>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</si>
  <si>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</si>
  <si>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</si>
  <si>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</si>
  <si>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</si>
  <si>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</si>
  <si>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</si>
  <si>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</si>
  <si>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</si>
  <si>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</si>
  <si>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</si>
  <si>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</si>
  <si>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</si>
  <si>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</si>
  <si>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</si>
  <si>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</si>
  <si>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</si>
  <si>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</si>
  <si>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</si>
  <si>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</si>
  <si>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</si>
  <si>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</si>
  <si>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</si>
  <si>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</si>
  <si>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</si>
  <si>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</si>
  <si>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</si>
  <si>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</si>
  <si>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</si>
  <si>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</si>
  <si>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</si>
  <si>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</si>
  <si>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</si>
  <si>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</si>
  <si>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</si>
  <si>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</si>
  <si>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</si>
  <si>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</si>
  <si>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</si>
  <si>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</si>
  <si>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</si>
  <si>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</si>
  <si>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</si>
  <si>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</si>
  <si>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</si>
  <si>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</si>
  <si>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</si>
  <si>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</si>
  <si>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</si>
  <si>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</si>
  <si>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</si>
  <si>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</si>
  <si>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</si>
  <si>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</si>
  <si>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</si>
  <si>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</si>
  <si>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</si>
  <si>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</si>
  <si>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</si>
  <si>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</si>
  <si>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</si>
  <si>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</si>
  <si>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</si>
  <si>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</si>
  <si>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</si>
  <si>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</si>
  <si>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</si>
  <si>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</si>
  <si>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</si>
  <si>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</si>
  <si>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</si>
  <si>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</si>
  <si>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</si>
  <si>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</si>
  <si>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</si>
  <si>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</si>
  <si>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</si>
  <si>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</si>
  <si>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</si>
  <si>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</si>
  <si>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</si>
  <si>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</si>
  <si>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</si>
  <si>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</si>
  <si>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</si>
  <si>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</si>
  <si>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</si>
  <si>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</si>
  <si>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</si>
  <si>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</si>
  <si>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</si>
  <si>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</si>
  <si>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</si>
  <si>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</si>
  <si>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</si>
  <si>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</si>
  <si>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</si>
  <si>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</si>
  <si>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</si>
  <si>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</si>
  <si>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</si>
  <si>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</si>
  <si>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</si>
  <si>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</si>
  <si>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</si>
  <si>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</si>
  <si>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</si>
  <si>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</si>
  <si>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</si>
  <si>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</si>
  <si>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</si>
  <si>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</si>
  <si>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</si>
  <si>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</si>
  <si>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</si>
  <si>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</si>
  <si>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</si>
  <si>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</si>
  <si>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</si>
  <si>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</si>
  <si>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</si>
  <si>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</si>
  <si>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</si>
  <si>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</si>
  <si>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</si>
  <si>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</si>
  <si>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</si>
  <si>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</si>
  <si>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</si>
  <si>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</si>
  <si>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</si>
  <si>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</si>
  <si>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</si>
  <si>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</si>
  <si>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</si>
  <si>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</si>
  <si>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</si>
  <si>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</si>
  <si>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</si>
  <si>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</si>
  <si>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</si>
  <si>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</si>
  <si>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</si>
  <si>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</si>
  <si>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</si>
  <si>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</si>
  <si>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</si>
  <si>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</si>
  <si>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</si>
  <si>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</si>
  <si>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</si>
  <si>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</si>
  <si>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</si>
  <si>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</si>
  <si>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</si>
  <si>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</si>
  <si>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</si>
  <si>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</si>
  <si>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</si>
  <si>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</si>
  <si>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</si>
  <si>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</si>
  <si>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</si>
  <si>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</si>
  <si>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</si>
  <si>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</si>
  <si>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</si>
  <si>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</si>
  <si>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</si>
  <si>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</si>
  <si>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</si>
  <si>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</si>
  <si>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</si>
  <si>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</si>
  <si>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</si>
  <si>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</si>
  <si>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</si>
  <si>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</si>
  <si>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</si>
  <si>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</si>
  <si>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</si>
  <si>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</si>
  <si>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</si>
  <si>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</si>
  <si>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</si>
  <si>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</si>
  <si>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</si>
  <si>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</si>
  <si>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</si>
  <si>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</si>
  <si>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</si>
  <si>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</si>
  <si>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</si>
  <si>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</si>
  <si>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</si>
  <si>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</si>
  <si>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</si>
  <si>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</si>
  <si>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</si>
  <si>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</si>
  <si>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</si>
  <si>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</si>
  <si>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</si>
  <si>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</si>
  <si>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</si>
  <si>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</si>
  <si>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</si>
  <si>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</si>
  <si>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</si>
  <si>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</si>
  <si>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</si>
  <si>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</si>
  <si>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</si>
  <si>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</si>
  <si>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</si>
  <si>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</si>
  <si>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</si>
  <si>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</si>
  <si>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</si>
  <si>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</si>
  <si>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</si>
  <si>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</si>
  <si>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</si>
  <si>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</si>
  <si>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</si>
  <si>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</si>
  <si>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</si>
  <si>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</si>
  <si>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</si>
  <si>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</si>
  <si>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</si>
  <si>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</si>
  <si>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</si>
  <si>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</si>
  <si>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</si>
  <si>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</si>
  <si>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</si>
  <si>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</si>
  <si>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</si>
  <si>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</si>
  <si>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</si>
  <si>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</si>
  <si>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</si>
  <si>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</si>
  <si>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</si>
  <si>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</si>
  <si>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</si>
  <si>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</si>
  <si>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</si>
  <si>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</si>
  <si>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</si>
  <si>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</si>
  <si>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</si>
  <si>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</si>
  <si>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</si>
  <si>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</si>
  <si>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</si>
  <si>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</si>
  <si>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</si>
  <si>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</si>
  <si>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</si>
  <si>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</si>
  <si>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</si>
  <si>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</si>
  <si>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</si>
  <si>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</si>
  <si>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</si>
  <si>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</si>
  <si>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</si>
  <si>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</si>
  <si>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</si>
  <si>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</si>
  <si>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</si>
  <si>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</si>
  <si>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</si>
  <si>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</si>
  <si>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</si>
  <si>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</si>
  <si>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</si>
  <si>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</si>
  <si>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</si>
  <si>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</si>
  <si>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</si>
  <si>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</si>
  <si>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</si>
  <si>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</si>
  <si>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</si>
  <si>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</si>
  <si>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</si>
  <si>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</si>
  <si>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</si>
  <si>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</si>
  <si>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</si>
  <si>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</si>
  <si>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</si>
  <si>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</si>
  <si>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</si>
  <si>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</si>
  <si>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</si>
  <si>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</si>
  <si>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</si>
  <si>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</si>
  <si>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</si>
  <si>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</si>
  <si>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</si>
  <si>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</si>
  <si>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</si>
  <si>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</si>
  <si>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</si>
  <si>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</si>
  <si>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</si>
  <si>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</si>
  <si>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</si>
  <si>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</si>
  <si>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</si>
  <si>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</si>
  <si>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</si>
  <si>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</si>
  <si>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</si>
  <si>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</si>
  <si>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</si>
  <si>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</si>
  <si>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</si>
  <si>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</si>
  <si>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</si>
  <si>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</si>
  <si>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</si>
  <si>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</si>
  <si>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</si>
  <si>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</si>
  <si>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</si>
  <si>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</si>
  <si>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</si>
  <si>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</si>
  <si>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</si>
  <si>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</si>
  <si>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</si>
  <si>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</si>
  <si>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</si>
  <si>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</si>
  <si>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</si>
  <si>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</si>
  <si>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</si>
  <si>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</si>
  <si>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</si>
  <si>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</si>
  <si>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</si>
  <si>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</si>
  <si>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</si>
  <si>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</si>
  <si>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</si>
  <si>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</si>
  <si>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</si>
  <si>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</si>
  <si>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</si>
  <si>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</si>
  <si>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</si>
  <si>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</si>
  <si>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</si>
  <si>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</si>
  <si>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</si>
  <si>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</si>
  <si>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</si>
  <si>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</si>
  <si>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</si>
  <si>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</si>
  <si>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</si>
  <si>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</si>
  <si>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</si>
  <si>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</si>
  <si>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</si>
  <si>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</si>
  <si>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</si>
  <si>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</si>
  <si>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</si>
  <si>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</si>
  <si>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</si>
  <si>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</si>
  <si>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</si>
  <si>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</si>
  <si>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</si>
  <si>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</si>
  <si>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</si>
  <si>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</si>
  <si>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</si>
  <si>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</si>
  <si>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</si>
  <si>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</si>
  <si>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</si>
  <si>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</si>
  <si>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</si>
  <si>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</si>
  <si>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</si>
  <si>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</si>
  <si>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</si>
  <si>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</si>
  <si>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</si>
  <si>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</si>
  <si>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</si>
  <si>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</si>
  <si>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</si>
  <si>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</si>
  <si>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</si>
  <si>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</si>
  <si>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</si>
  <si>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</si>
  <si>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</si>
  <si>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</si>
  <si>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</si>
  <si>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</si>
  <si>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</si>
  <si>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</si>
  <si>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</si>
  <si>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</si>
  <si>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</si>
  <si>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</si>
  <si>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</si>
  <si>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</si>
  <si>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</si>
  <si>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</si>
  <si>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</si>
  <si>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</si>
  <si>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</si>
  <si>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</si>
  <si>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</si>
  <si>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</si>
  <si>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</si>
  <si>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</si>
  <si>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</si>
  <si>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</si>
  <si>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</si>
  <si>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</si>
  <si>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</si>
  <si>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</si>
  <si>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</si>
  <si>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</si>
  <si>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</si>
  <si>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</si>
  <si>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</si>
  <si>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</si>
  <si>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</si>
  <si>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</si>
  <si>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</si>
  <si>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</si>
  <si>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</si>
  <si>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</si>
  <si>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</si>
  <si>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</si>
  <si>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</si>
  <si>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</si>
  <si>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</si>
  <si>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</si>
  <si>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</si>
  <si>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</si>
  <si>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</si>
  <si>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</si>
  <si>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</si>
  <si>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</si>
  <si>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</si>
  <si>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</si>
  <si>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</si>
  <si>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</si>
  <si>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</si>
  <si>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</si>
  <si>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</si>
  <si>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</si>
  <si>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</si>
  <si>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</si>
  <si>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</si>
  <si>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</si>
  <si>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</si>
  <si>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</si>
  <si>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</si>
  <si>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</si>
  <si>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</si>
  <si>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</si>
  <si>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</si>
  <si>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</si>
  <si>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</si>
  <si>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</si>
  <si>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</si>
  <si>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</si>
  <si>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</si>
  <si>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</si>
  <si>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</si>
  <si>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</si>
  <si>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</si>
  <si>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</si>
  <si>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</si>
  <si>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</si>
  <si>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</si>
  <si>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</si>
  <si>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</si>
  <si>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</si>
  <si>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</si>
  <si>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</si>
  <si>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</si>
  <si>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</si>
  <si>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</si>
  <si>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</si>
  <si>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</si>
  <si>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</si>
  <si>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</si>
  <si>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</si>
  <si>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</si>
  <si>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</si>
  <si>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</si>
  <si>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</si>
  <si>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</si>
  <si>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</si>
  <si>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</si>
  <si>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</si>
  <si>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</si>
  <si>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</si>
  <si>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</si>
  <si>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</si>
  <si>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</si>
  <si>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</si>
  <si>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</si>
  <si>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</si>
  <si>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</si>
  <si>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</si>
  <si>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</si>
  <si>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</si>
  <si>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</si>
  <si>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</si>
  <si>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</si>
  <si>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</si>
  <si>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</si>
  <si>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</si>
  <si>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</si>
  <si>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</si>
  <si>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</si>
  <si>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</si>
  <si>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</si>
  <si>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</si>
  <si>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</si>
  <si>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</si>
  <si>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</si>
  <si>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</si>
  <si>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</si>
  <si>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</si>
  <si>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</si>
  <si>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</si>
  <si>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</si>
  <si>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</si>
  <si>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</si>
  <si>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</si>
  <si>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</si>
  <si>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</si>
  <si>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</si>
  <si>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</si>
  <si>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</si>
  <si>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</si>
  <si>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</si>
  <si>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</si>
  <si>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</si>
  <si>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</si>
  <si>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</si>
  <si>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</si>
  <si>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</si>
  <si>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</si>
  <si>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</si>
  <si>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</si>
  <si>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</si>
  <si>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</si>
  <si>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</si>
  <si>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</si>
  <si>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</si>
  <si>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</si>
  <si>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</si>
  <si>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</si>
  <si>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</si>
  <si>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</si>
  <si>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</si>
  <si>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</si>
  <si>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</si>
  <si>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</si>
  <si>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</si>
  <si>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</si>
  <si>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</si>
  <si>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</si>
  <si>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</si>
  <si>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</si>
  <si>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</si>
  <si>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</si>
  <si>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</si>
  <si>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</si>
  <si>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</si>
  <si>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</si>
  <si>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</si>
  <si>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</si>
  <si>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</si>
  <si>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</si>
  <si>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</si>
  <si>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</si>
  <si>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</si>
  <si>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</si>
  <si>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</si>
  <si>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</si>
  <si>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</si>
  <si>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</si>
  <si>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</si>
  <si>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</si>
  <si>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</si>
  <si>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</si>
  <si>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</si>
  <si>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</si>
  <si>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</si>
  <si>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</si>
  <si>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</si>
  <si>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</si>
  <si>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</si>
  <si>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</si>
  <si>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</si>
  <si>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</si>
  <si>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</si>
  <si>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</si>
  <si>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</si>
  <si>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</si>
  <si>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</si>
  <si>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</si>
  <si>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</si>
  <si>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</si>
  <si>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</si>
  <si>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</si>
  <si>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</si>
  <si>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</si>
  <si>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</si>
  <si>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</si>
  <si>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</si>
  <si>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</si>
  <si>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</si>
  <si>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</si>
  <si>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</si>
  <si>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</si>
  <si>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</si>
  <si>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</si>
  <si>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</si>
  <si>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</si>
  <si>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</si>
  <si>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</si>
  <si>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</si>
  <si>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</si>
  <si>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</si>
  <si>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</si>
  <si>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</si>
  <si>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</si>
  <si>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</si>
  <si>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</si>
  <si>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</si>
  <si>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</si>
  <si>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</si>
  <si>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</si>
  <si>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</si>
  <si>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</si>
  <si>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</si>
  <si>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</si>
  <si>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</si>
  <si>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</si>
  <si>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</si>
  <si>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</si>
  <si>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</si>
  <si>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</si>
  <si>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</si>
  <si>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</si>
  <si>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</si>
  <si>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</si>
  <si>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</si>
  <si>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</si>
  <si>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</si>
  <si>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</si>
  <si>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</si>
  <si>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</si>
  <si>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</si>
  <si>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</si>
  <si>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</si>
  <si>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</si>
  <si>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</si>
  <si>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</si>
  <si>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</si>
  <si>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</si>
  <si>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</si>
  <si>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</si>
  <si>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</si>
  <si>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</si>
  <si>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</si>
  <si>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</si>
  <si>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</si>
  <si>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</si>
  <si>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</si>
  <si>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</si>
  <si>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</si>
  <si>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</si>
  <si>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</si>
  <si>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</si>
  <si>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</si>
  <si>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</si>
  <si>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</si>
  <si>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</si>
  <si>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</si>
  <si>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</si>
  <si>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</si>
  <si>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</si>
  <si>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</si>
  <si>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</si>
  <si>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</si>
  <si>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</si>
  <si>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</si>
  <si>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</si>
  <si>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</si>
  <si>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</si>
  <si>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</si>
  <si>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</si>
  <si>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</si>
  <si>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</si>
  <si>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</si>
  <si>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</si>
  <si>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</si>
  <si>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</si>
  <si>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</si>
  <si>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</si>
  <si>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</si>
  <si>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</si>
  <si>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</si>
  <si>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</si>
  <si>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</si>
  <si>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</si>
  <si>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</si>
  <si>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</si>
  <si>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</si>
  <si>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</si>
  <si>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</si>
  <si>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</si>
  <si>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</si>
  <si>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</si>
  <si>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</si>
  <si>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</si>
  <si>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</si>
  <si>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</si>
  <si>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</si>
  <si>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</si>
  <si>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</si>
  <si>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</si>
  <si>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</si>
  <si>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</si>
  <si>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</si>
  <si>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</si>
  <si>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</si>
  <si>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</si>
  <si>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</si>
  <si>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</si>
  <si>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</si>
  <si>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</si>
  <si>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</si>
  <si>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</si>
  <si>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</si>
  <si>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</si>
  <si>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</si>
  <si>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</si>
  <si>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</si>
  <si>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</si>
  <si>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</si>
  <si>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</si>
  <si>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</si>
  <si>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</si>
  <si>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</si>
  <si>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</si>
  <si>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</si>
  <si>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</si>
  <si>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</si>
  <si>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</si>
  <si>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</si>
  <si>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</si>
  <si>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</si>
  <si>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</si>
  <si>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</si>
  <si>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</si>
  <si>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</si>
  <si>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</si>
  <si>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</si>
  <si>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</si>
  <si>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</si>
  <si>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</si>
  <si>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</si>
  <si>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</si>
  <si>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</si>
  <si>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</si>
  <si>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</si>
  <si>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</si>
  <si>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</si>
  <si>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</si>
  <si>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</si>
  <si>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</si>
  <si>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</si>
  <si>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</si>
  <si>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</si>
  <si>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</si>
  <si>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</si>
  <si>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</si>
  <si>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</si>
  <si>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</si>
  <si>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</si>
  <si>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</si>
  <si>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</si>
  <si>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</si>
  <si>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</si>
  <si>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</si>
  <si>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</si>
  <si>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</si>
  <si>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</si>
  <si>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</si>
  <si>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</si>
  <si>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</si>
  <si>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</si>
  <si>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</si>
  <si>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</si>
  <si>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</si>
  <si>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</si>
  <si>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</si>
  <si>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</si>
  <si>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</si>
  <si>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</si>
  <si>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</si>
  <si>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</si>
  <si>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</si>
  <si>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</si>
  <si>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</si>
  <si>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</si>
  <si>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</si>
  <si>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</si>
  <si>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</si>
  <si>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</si>
  <si>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</si>
  <si>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</si>
  <si>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</si>
  <si>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</si>
  <si>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</si>
  <si>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</si>
  <si>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</si>
  <si>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</si>
  <si>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</si>
  <si>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</si>
  <si>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</si>
  <si>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</si>
  <si>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</si>
  <si>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</si>
  <si>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</si>
  <si>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</si>
  <si>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</si>
  <si>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</si>
  <si>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</si>
  <si>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</si>
  <si>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</si>
  <si>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</si>
  <si>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</si>
  <si>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</si>
  <si>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</si>
  <si>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</si>
  <si>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</si>
  <si>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</si>
  <si>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</si>
  <si>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</si>
  <si>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</si>
  <si>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</si>
  <si>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</si>
  <si>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</si>
  <si>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</si>
  <si>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</si>
  <si>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</si>
  <si>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</si>
  <si>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</si>
  <si>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</si>
  <si>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</si>
  <si>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</si>
  <si>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</si>
  <si>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</si>
  <si>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</si>
  <si>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</si>
  <si>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</si>
  <si>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</si>
  <si>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</si>
  <si>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</si>
  <si>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</si>
  <si>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</si>
  <si>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</si>
  <si>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</si>
  <si>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</si>
  <si>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</si>
  <si>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</si>
  <si>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</si>
  <si>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</si>
  <si>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</si>
  <si>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</si>
  <si>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</si>
  <si>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</si>
  <si>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</si>
  <si>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</si>
  <si>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</si>
  <si>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</si>
  <si>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</si>
  <si>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</si>
  <si>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</si>
  <si>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</si>
  <si>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</si>
  <si>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</si>
  <si>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</si>
  <si>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</si>
  <si>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</si>
  <si>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</si>
  <si>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</si>
  <si>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</si>
  <si>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</si>
  <si>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</si>
  <si>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</si>
  <si>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</si>
  <si>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</si>
  <si>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</si>
  <si>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</si>
  <si>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</si>
  <si>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</si>
  <si>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</si>
  <si>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</si>
  <si>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</si>
  <si>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</si>
  <si>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</si>
  <si>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</si>
  <si>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</si>
  <si>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</si>
  <si>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</si>
  <si>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</si>
  <si>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</si>
  <si>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</si>
  <si>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</si>
  <si>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</si>
  <si>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</si>
  <si>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</si>
  <si>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</si>
  <si>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</si>
  <si>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</si>
  <si>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</si>
  <si>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</si>
  <si>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</si>
  <si>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</si>
  <si>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</si>
  <si>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</si>
  <si>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</si>
  <si>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</si>
  <si>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</si>
  <si>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</si>
  <si>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</si>
  <si>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</si>
  <si>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</si>
  <si>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</si>
  <si>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</si>
  <si>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</si>
  <si>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</si>
  <si>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</si>
  <si>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</si>
  <si>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</si>
  <si>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</si>
  <si>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</si>
  <si>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</si>
  <si>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</si>
  <si>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</si>
  <si>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</si>
  <si>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</si>
  <si>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</si>
  <si>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</si>
  <si>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</si>
  <si>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</si>
  <si>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</si>
  <si>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</si>
  <si>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</si>
  <si>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</si>
  <si>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</si>
  <si>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</si>
  <si>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</si>
  <si>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</si>
  <si>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</si>
  <si>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</si>
  <si>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</si>
  <si>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</si>
  <si>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</si>
  <si>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</si>
  <si>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</si>
  <si>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</si>
  <si>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</si>
  <si>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</si>
  <si>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</si>
  <si>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</si>
  <si>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</si>
  <si>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</si>
  <si>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</si>
  <si>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</si>
  <si>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</si>
  <si>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</si>
  <si>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</si>
  <si>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</si>
  <si>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</si>
  <si>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</si>
  <si>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</si>
  <si>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</si>
  <si>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</si>
  <si>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</si>
  <si>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</si>
  <si>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</si>
  <si>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</si>
  <si>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</si>
  <si>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</si>
  <si>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</si>
  <si>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</si>
  <si>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</si>
  <si>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</si>
  <si>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</si>
  <si>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</si>
  <si>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</si>
  <si>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</si>
  <si>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</si>
  <si>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</si>
  <si>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</si>
  <si>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</si>
  <si>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</si>
  <si>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</si>
  <si>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</si>
  <si>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</si>
  <si>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</si>
  <si>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</si>
  <si>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</si>
  <si>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</si>
  <si>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</si>
  <si>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</si>
  <si>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</si>
  <si>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</si>
  <si>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</si>
  <si>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</si>
  <si>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</si>
  <si>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</si>
  <si>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</si>
  <si>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</si>
  <si>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</si>
  <si>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</si>
  <si>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</si>
  <si>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</si>
  <si>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</si>
  <si>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</si>
  <si>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</si>
  <si>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</si>
  <si>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</si>
  <si>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</si>
  <si>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</si>
  <si>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</si>
  <si>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</si>
  <si>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</si>
  <si>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</si>
  <si>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</si>
  <si>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</si>
  <si>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</si>
  <si>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</si>
  <si>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</si>
  <si>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</si>
  <si>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</si>
  <si>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</si>
  <si>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</si>
  <si>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</si>
  <si>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</si>
  <si>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</si>
  <si>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</si>
  <si>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</si>
  <si>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</si>
  <si>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</si>
  <si>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</si>
  <si>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</si>
  <si>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</si>
  <si>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</si>
  <si>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</si>
  <si>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</si>
  <si>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</si>
  <si>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</si>
  <si>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</si>
  <si>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</si>
  <si>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</si>
  <si>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</si>
  <si>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</si>
  <si>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</si>
  <si>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</si>
  <si>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</si>
  <si>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</si>
  <si>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</si>
  <si>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</si>
  <si>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</si>
  <si>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</si>
  <si>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</si>
  <si>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</si>
  <si>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</si>
  <si>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</si>
  <si>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</si>
  <si>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</si>
  <si>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</si>
  <si>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</si>
  <si>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</si>
  <si>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</si>
  <si>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</si>
  <si>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</si>
  <si>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</si>
  <si>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</si>
  <si>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</si>
  <si>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</si>
  <si>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</si>
  <si>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</si>
  <si>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</si>
  <si>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</si>
  <si>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</si>
  <si>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</si>
  <si>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</si>
  <si>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</si>
  <si>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</si>
  <si>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</si>
  <si>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</si>
  <si>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</si>
  <si>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</si>
  <si>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</si>
  <si>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</si>
  <si>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</si>
  <si>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</si>
  <si>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</si>
  <si>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</si>
  <si>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</si>
  <si>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</si>
  <si>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</si>
  <si>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</si>
  <si>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</si>
  <si>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</si>
  <si>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</si>
  <si>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</si>
  <si>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</si>
  <si>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</si>
  <si>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</si>
  <si>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</si>
  <si>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</si>
  <si>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</si>
  <si>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</si>
  <si>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</si>
  <si>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</si>
  <si>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</si>
  <si>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</si>
  <si>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</si>
  <si>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</si>
  <si>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</si>
  <si>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</si>
  <si>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</si>
  <si>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</si>
  <si>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</si>
  <si>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</si>
  <si>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</si>
  <si>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</si>
  <si>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</si>
  <si>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</si>
  <si>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</si>
  <si>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</si>
  <si>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</si>
  <si>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</si>
  <si>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</si>
  <si>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</si>
  <si>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</si>
  <si>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</si>
  <si>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</si>
  <si>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</si>
  <si>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</si>
  <si>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</si>
  <si>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</si>
  <si>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</si>
  <si>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</si>
  <si>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 xml:space="preserve">             估价方法及结果估价对象及结果</t>
  </si>
  <si>
    <t>测算结果</t>
  </si>
  <si>
    <t>估价结果</t>
  </si>
  <si>
    <t>比较法</t>
  </si>
  <si>
    <t>收益法</t>
  </si>
  <si>
    <t>成本法</t>
  </si>
  <si>
    <t>办公（研发）用房已出租</t>
  </si>
  <si>
    <t>总价</t>
  </si>
  <si>
    <t>单价</t>
  </si>
  <si>
    <t>办公（研发）用房未出租</t>
  </si>
  <si>
    <t>地下仓储用房已出租</t>
  </si>
  <si>
    <t>地下仓储用房未出租</t>
  </si>
  <si>
    <t>地下车库用房</t>
  </si>
  <si>
    <t>汇总评估价值</t>
  </si>
  <si>
    <t>按房产原值计税</t>
  </si>
  <si>
    <t>毛坯</t>
  </si>
  <si>
    <t>未包含在土地购买价格中</t>
  </si>
  <si>
    <t>已包含在土地取得成本中</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</si>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</sst>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style="medium">
        <color indexed="64"/>
      </right>
      <top/>
      <bottom style="double">
        <color indexed="64"/>
      </bottom>
      <diagonal/>
    </border>
    <border>
      <left style="medium">
        <color rgb="FF000000"/>
      </left>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102" fillId="0" borderId="43" xfId="0" applyFont="1" applyBorder="1" applyAlignment="1">
      <alignment horizontal="center" vertical="center" wrapText="1"/>
    </xf>
    <xf numFmtId="0" fontId="102" fillId="0" borderId="43" xfId="0" applyFont="1" applyBorder="1" applyAlignment="1">
      <alignment horizontal="justify" vertical="center" wrapText="1"/>
    </xf>
    <xf numFmtId="0" fontId="104" fillId="0" borderId="43" xfId="0" applyFont="1" applyBorder="1" applyAlignment="1">
      <alignment horizontal="center" vertical="center" wrapText="1"/>
    </xf>
    <xf numFmtId="0" fontId="122" fillId="0" borderId="43" xfId="0" applyFont="1" applyBorder="1" applyAlignment="1">
      <alignment horizontal="center" vertical="center" wrapText="1"/>
    </xf>
    <xf numFmtId="0" fontId="102" fillId="0" borderId="43" xfId="0" applyFont="1" applyBorder="1" applyAlignment="1">
      <alignment vertical="center" wrapText="1"/>
    </xf>
    <xf numFmtId="0" fontId="102" fillId="0" borderId="92" xfId="0" applyFont="1" applyBorder="1" applyAlignment="1">
      <alignment horizontal="justify" vertical="center" wrapText="1"/>
    </xf>
    <xf numFmtId="0" fontId="122" fillId="0" borderId="92" xfId="0" applyFont="1" applyBorder="1" applyAlignment="1">
      <alignment horizontal="center" vertical="center" wrapText="1"/>
    </xf>
    <xf numFmtId="0" fontId="104" fillId="0" borderId="92" xfId="0" applyFont="1" applyBorder="1" applyAlignment="1">
      <alignment horizontal="center" vertical="center" wrapText="1"/>
    </xf>
    <xf numFmtId="176" fontId="50" fillId="17" borderId="1" xfId="0" applyNumberFormat="1" applyFont="1" applyFill="1" applyBorder="1" applyAlignment="1" applyProtection="1">
      <alignment vertical="center" wrapText="1"/>
      <protection locked="0"/>
    </xf>
    <xf numFmtId="179" fontId="50" fillId="17" borderId="1"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1" xfId="0" applyNumberFormat="1" applyFont="1" applyFill="1" applyBorder="1" applyAlignment="1" applyProtection="1">
      <alignment vertical="center"/>
      <protection locked="0"/>
    </xf>
    <xf numFmtId="181" fontId="47" fillId="17" borderId="24" xfId="0" applyNumberFormat="1" applyFont="1" applyFill="1" applyBorder="1" applyAlignment="1" applyProtection="1">
      <alignment vertical="center"/>
      <protection locked="0"/>
    </xf>
    <xf numFmtId="0" fontId="47" fillId="17" borderId="23"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73" fillId="17" borderId="51" xfId="0" applyNumberFormat="1" applyFont="1" applyFill="1" applyBorder="1" applyAlignment="1" applyProtection="1">
      <alignment vertical="center" wrapText="1"/>
      <protection locked="0"/>
    </xf>
    <xf numFmtId="0" fontId="50" fillId="17" borderId="1" xfId="0" applyFont="1" applyFill="1" applyBorder="1" applyAlignment="1" applyProtection="1">
      <alignment horizontal="left" vertical="center" wrapText="1"/>
      <protection locked="0"/>
    </xf>
    <xf numFmtId="10" fontId="56" fillId="17" borderId="49" xfId="0" applyNumberFormat="1" applyFont="1" applyFill="1" applyBorder="1" applyAlignment="1" applyProtection="1">
      <alignment horizontal="center" vertical="center"/>
      <protection locked="0"/>
    </xf>
    <xf numFmtId="0" fontId="57" fillId="17" borderId="24" xfId="1" applyFont="1" applyFill="1" applyBorder="1" applyAlignment="1" applyProtection="1">
      <alignment horizontal="left" vertical="center"/>
      <protection locked="0"/>
    </xf>
    <xf numFmtId="0" fontId="255" fillId="17" borderId="1" xfId="0"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2" fillId="0" borderId="27" xfId="0" applyFont="1" applyBorder="1" applyAlignment="1">
      <alignment horizontal="justify" vertical="center" wrapText="1"/>
    </xf>
    <xf numFmtId="0" fontId="102" fillId="0" borderId="81" xfId="0" applyFont="1" applyBorder="1" applyAlignment="1">
      <alignment horizontal="justify" vertical="center" wrapText="1"/>
    </xf>
    <xf numFmtId="0" fontId="102" fillId="0" borderId="162" xfId="0" applyFont="1" applyBorder="1" applyAlignment="1">
      <alignment horizontal="justify" vertical="center" wrapText="1"/>
    </xf>
    <xf numFmtId="0" fontId="102" fillId="0" borderId="156" xfId="0" applyFont="1" applyBorder="1" applyAlignment="1">
      <alignment vertical="center" wrapText="1"/>
    </xf>
    <xf numFmtId="0" fontId="102" fillId="0" borderId="157" xfId="0" applyFont="1" applyBorder="1" applyAlignment="1">
      <alignment vertical="center" wrapText="1"/>
    </xf>
    <xf numFmtId="0" fontId="102" fillId="0" borderId="158" xfId="0" applyFont="1" applyBorder="1" applyAlignment="1">
      <alignment vertical="center" wrapText="1"/>
    </xf>
    <xf numFmtId="0" fontId="102" fillId="0" borderId="159" xfId="0" applyFont="1" applyBorder="1" applyAlignment="1">
      <alignment vertical="center" wrapText="1"/>
    </xf>
    <xf numFmtId="0" fontId="102" fillId="0" borderId="163" xfId="0" applyFont="1" applyBorder="1" applyAlignment="1">
      <alignment horizontal="center" vertical="center" wrapText="1"/>
    </xf>
    <xf numFmtId="0" fontId="102" fillId="0" borderId="161" xfId="0" applyFont="1" applyBorder="1" applyAlignment="1">
      <alignment horizontal="center" vertical="center" wrapText="1"/>
    </xf>
    <xf numFmtId="0" fontId="102" fillId="0" borderId="160" xfId="0" applyFont="1" applyBorder="1" applyAlignment="1">
      <alignment horizontal="center" vertical="center" wrapText="1"/>
    </xf>
    <xf numFmtId="0" fontId="102" fillId="0" borderId="164" xfId="0" applyFont="1" applyBorder="1" applyAlignment="1">
      <alignment horizontal="center" vertical="center" wrapText="1"/>
    </xf>
    <xf numFmtId="0" fontId="102" fillId="0" borderId="81" xfId="0" applyFont="1" applyBorder="1" applyAlignment="1">
      <alignment horizontal="center" vertical="center" wrapText="1"/>
    </xf>
    <xf numFmtId="0" fontId="102" fillId="0" borderId="165"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9</xdr:col>
      <xdr:colOff>0</xdr:colOff>
      <xdr:row>0</xdr:row>
      <xdr:rowOff>0</xdr:rowOff>
    </xdr:from>
    <xdr:to>
      <xdr:col>18</xdr:col>
      <xdr:colOff>446612</xdr:colOff>
      <xdr:row>18</xdr:row>
      <xdr:rowOff>93599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6172200" y="0"/>
          <a:ext cx="6618812" cy="3179699"/>
        </a:xfrm>
        <a:prstGeom prst="rect">
          <a:avLst/>
        </a:prstGeom>
      </xdr:spPr>
    </xdr:pic>
    <xdr:clientData/>
  </xdr:twoCellAnchor>
  <xdr:twoCellAnchor editAs="oneCell">
    <xdr:from>
      <xdr:col>9</xdr:col>
      <xdr:colOff>19050</xdr:colOff>
      <xdr:row>19</xdr:row>
      <xdr:rowOff>38100</xdr:rowOff>
    </xdr:from>
    <xdr:to>
      <xdr:col>17</xdr:col>
      <xdr:colOff>170209</xdr:colOff>
      <xdr:row>35</xdr:row>
      <xdr:rowOff>132597</xdr:rowOff>
    </xdr:to>
    <xdr:pic>
      <xdr:nvPicPr>
        <xdr:cNvPr id="19" name="图片 18"/>
        <xdr:cNvPicPr>
          <a:picLocks noChangeAspect="1"/>
        </xdr:cNvPicPr>
      </xdr:nvPicPr>
      <xdr:blipFill>
        <a:blip xmlns:r="http://schemas.openxmlformats.org/officeDocument/2006/relationships" r:embed="rId14"/>
        <a:stretch>
          <a:fillRect/>
        </a:stretch>
      </xdr:blipFill>
      <xdr:spPr>
        <a:xfrm>
          <a:off x="6191250" y="3295650"/>
          <a:ext cx="5637559" cy="2837697"/>
        </a:xfrm>
        <a:prstGeom prst="rect">
          <a:avLst/>
        </a:prstGeom>
      </xdr:spPr>
    </xdr:pic>
    <xdr:clientData/>
  </xdr:twoCellAnchor>
  <xdr:twoCellAnchor editAs="oneCell">
    <xdr:from>
      <xdr:col>9</xdr:col>
      <xdr:colOff>0</xdr:colOff>
      <xdr:row>36</xdr:row>
      <xdr:rowOff>0</xdr:rowOff>
    </xdr:from>
    <xdr:to>
      <xdr:col>18</xdr:col>
      <xdr:colOff>37096</xdr:colOff>
      <xdr:row>54</xdr:row>
      <xdr:rowOff>84761</xdr:rowOff>
    </xdr:to>
    <xdr:pic>
      <xdr:nvPicPr>
        <xdr:cNvPr id="20" name="图片 19"/>
        <xdr:cNvPicPr>
          <a:picLocks noChangeAspect="1"/>
        </xdr:cNvPicPr>
      </xdr:nvPicPr>
      <xdr:blipFill>
        <a:blip xmlns:r="http://schemas.openxmlformats.org/officeDocument/2006/relationships" r:embed="rId15"/>
        <a:stretch>
          <a:fillRect/>
        </a:stretch>
      </xdr:blipFill>
      <xdr:spPr>
        <a:xfrm>
          <a:off x="6172200" y="6172200"/>
          <a:ext cx="6209296" cy="317086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北京市房地产市场价值预评估</v>
      </c>
    </row>
    <row r="3" spans="1:2" s="1591" customFormat="1">
      <c r="A3" s="1589" t="s">
        <v>1221</v>
      </c>
      <c r="B3" s="1590" t="str">
        <f>'预评函-封皮'!B40</f>
        <v>北京杰伟科技发展有限公司</v>
      </c>
    </row>
    <row r="4" spans="1:2" s="1591" customFormat="1">
      <c r="A4" s="1589" t="s">
        <v>1222</v>
      </c>
      <c r="B4" s="1590" t="str">
        <f ca="1">'预评函-封皮'!B46</f>
        <v>刘梅（注册号：1120140022)、吴薇（注册号：1419970001)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受贵公司委托，我公司对北京市房地产市场价值进行了预评估。</v>
      </c>
    </row>
    <row r="7" spans="1:2" s="1591" customFormat="1">
      <c r="A7" s="1589" t="s">
        <v>1264</v>
      </c>
      <c r="B7" s="1590" t="str">
        <f>'预评函-1'!A7</f>
        <v>估价对象为北京市房地产，为所有。根据《国有土地使用证》[]，估价对象（分摊）出让国有建设用地使用权面积为15019.6平方米，建筑面积为34007.5平方米。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估价对象为北京市房地产,属开发建设的办公项目，该项目尚在开发建设中。根据《国有土地使用证》[]，估价对象（分摊）出让国有建设用地使用权面积为15019.6平方米，规划建筑面积为34007.5平方米。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为估价委托人了解估价对象房地产市场价值提供参考依据。</v>
      </c>
    </row>
    <row r="12" spans="1:2" s="1591" customFormat="1">
      <c r="A12" s="1589" t="s">
        <v>1226</v>
      </c>
      <c r="B12" s="1590" t="str">
        <f>'预评函-1'!A15</f>
        <v>2018年5月16日（评估专业人员实地查勘之日）</v>
      </c>
    </row>
    <row r="13" spans="1:2" s="1591" customFormat="1">
      <c r="A13" s="1589" t="s">
        <v>1227</v>
      </c>
      <c r="B13" s="1590" t="str">
        <f>'预评函-1'!A18</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v>
      </c>
    </row>
    <row r="16" spans="1:2" s="1591" customFormat="1">
      <c r="A16" s="1589" t="s">
        <v>1230</v>
      </c>
      <c r="B16" s="1590" t="str">
        <f>'预评函-1'!A21</f>
        <v>——</v>
      </c>
    </row>
    <row r="17" spans="1:2" s="1591" customFormat="1">
      <c r="A17" s="1589" t="s">
        <v>1231</v>
      </c>
      <c r="B17" s="1590" t="str">
        <f>'预评函-1'!A22</f>
        <v>——</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1234</v>
      </c>
      <c r="B20" s="1590">
        <f ca="1">'预评函-2'!D5</f>
        <v>19210</v>
      </c>
    </row>
    <row r="21" spans="1:2" s="1591" customFormat="1">
      <c r="A21" s="1589" t="s">
        <v>1235</v>
      </c>
      <c r="B21" s="1590">
        <f ca="1">'预评函-2'!D7</f>
        <v>31082</v>
      </c>
    </row>
    <row r="22" spans="1:2" s="1591" customFormat="1">
      <c r="A22" s="1589" t="s">
        <v>1236</v>
      </c>
      <c r="B22" s="1590" t="str">
        <f ca="1">'预评函-2'!D6</f>
        <v>壹亿玖仟贰佰壹拾万元整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19210</v>
      </c>
    </row>
    <row r="31" spans="1:2" s="1591" customFormat="1">
      <c r="A31" s="1589" t="s">
        <v>1274</v>
      </c>
      <c r="B31" s="1590">
        <f ca="1">'预评函-2'!D15</f>
        <v>5649</v>
      </c>
    </row>
    <row r="32" spans="1:2" s="1591" customFormat="1">
      <c r="A32" s="1589" t="s">
        <v>1241</v>
      </c>
      <c r="B32" s="1590" t="str">
        <f ca="1">'预评函-2'!D14</f>
        <v>壹亿玖仟贰佰壹拾万元整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北京市房地产</v>
      </c>
    </row>
    <row r="42" spans="1:2" s="1591" customFormat="1">
      <c r="A42" s="1589" t="s">
        <v>1288</v>
      </c>
      <c r="B42" s="1590" t="str">
        <f>'预评函-3'!B2</f>
        <v>建筑面积</v>
      </c>
    </row>
    <row r="43" spans="1:2" s="1591" customFormat="1">
      <c r="A43" s="1589" t="s">
        <v>1289</v>
      </c>
      <c r="B43" s="1590">
        <f>'预评函-3'!B4</f>
        <v>34007.5</v>
      </c>
    </row>
    <row r="44" spans="1:2" s="1591" customFormat="1">
      <c r="A44" s="1589" t="s">
        <v>1273</v>
      </c>
      <c r="B44" s="1590" t="str">
        <f>'预评函-3'!C2</f>
        <v>(分摊)土地面积</v>
      </c>
    </row>
    <row r="45" spans="1:2" s="1591" customFormat="1">
      <c r="A45" s="1589" t="s">
        <v>1245</v>
      </c>
      <c r="B45" s="1590">
        <f>'预评函-3'!C4</f>
        <v>15019.6</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
      </c>
    </row>
    <row r="58" spans="1:2" s="1588" customFormat="1" ht="15" thickTop="1">
      <c r="A58" s="1586" t="s">
        <v>1251</v>
      </c>
      <c r="B58" s="1587" t="str">
        <f>'预评函-4'!A12</f>
        <v>2.本次评估设定估价对象房地产权属无争议，未被查封或者以其他形式限制其房地产权利，未设定抵押权等他项权利，不涉及第三方权利义务。</v>
      </c>
    </row>
    <row r="59" spans="1:2" s="1591" customFormat="1">
      <c r="A59" s="1589" t="s">
        <v>1252</v>
      </c>
      <c r="B59" s="1590" t="str">
        <f>'预评函-4'!A13</f>
        <v>——</v>
      </c>
    </row>
    <row r="60" spans="1:2" s="1591" customFormat="1">
      <c r="A60" s="1589" t="s">
        <v>1253</v>
      </c>
      <c r="B60" s="1590" t="str">
        <f>'预评函-4'!A14</f>
        <v>——</v>
      </c>
    </row>
    <row r="61" spans="1:2" s="1591" customFormat="1">
      <c r="A61" s="1589" t="s">
        <v>1254</v>
      </c>
      <c r="B61" s="1590" t="str">
        <f>'预评函-4'!A15</f>
        <v>——</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v>
      </c>
    </row>
    <row r="65" spans="1:2" s="1591" customFormat="1">
      <c r="A65" s="1589" t="s">
        <v>1257</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刘梅</v>
      </c>
    </row>
    <row r="71" spans="1:2">
      <c r="A71" s="1589" t="s">
        <v>1261</v>
      </c>
      <c r="B71" s="1590">
        <f ca="1">'预评函-4'!B4</f>
        <v>1120140022</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5" t="s">
        <v>3169</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5" t="s">
        <v>3163</v>
      </c>
      <c r="C5" s="2013" t="s">
        <v>763</v>
      </c>
      <c r="F5" s="2014" t="s">
        <v>1731</v>
      </c>
      <c r="H5" s="2014" t="s">
        <v>1732</v>
      </c>
      <c r="I5" s="2014" t="s">
        <v>1733</v>
      </c>
      <c r="K5" s="2014" t="s">
        <v>1734</v>
      </c>
      <c r="L5" s="2014" t="s">
        <v>1734</v>
      </c>
      <c r="M5" s="2014" t="s">
        <v>1734</v>
      </c>
      <c r="N5" s="2014" t="s">
        <v>1734</v>
      </c>
      <c r="O5" s="2014" t="s">
        <v>1734</v>
      </c>
      <c r="P5" s="2014" t="s">
        <v>1734</v>
      </c>
      <c r="Q5" s="2014" t="s">
        <v>1734</v>
      </c>
      <c r="R5" s="2014" t="s">
        <v>1142</v>
      </c>
      <c r="S5" s="2014" t="s">
        <v>1734</v>
      </c>
      <c r="T5" s="2014" t="s">
        <v>1735</v>
      </c>
      <c r="U5" s="2014" t="s">
        <v>1734</v>
      </c>
      <c r="W5" s="2014" t="s">
        <v>1734</v>
      </c>
    </row>
    <row r="6" spans="1:23">
      <c r="A6" s="2012" t="s">
        <v>1736</v>
      </c>
      <c r="B6" s="2015" t="s">
        <v>1146</v>
      </c>
      <c r="C6" s="2018" t="s">
        <v>30</v>
      </c>
      <c r="F6" s="2014" t="s">
        <v>1732</v>
      </c>
      <c r="H6" s="2014" t="s">
        <v>1737</v>
      </c>
      <c r="I6" s="2014" t="s">
        <v>1738</v>
      </c>
      <c r="K6" s="2014" t="s">
        <v>1739</v>
      </c>
      <c r="L6" s="2014" t="s">
        <v>1739</v>
      </c>
      <c r="M6" s="2014" t="s">
        <v>1739</v>
      </c>
      <c r="N6" s="2014" t="s">
        <v>1739</v>
      </c>
      <c r="O6" s="2014" t="s">
        <v>1739</v>
      </c>
      <c r="P6" s="2014" t="s">
        <v>1739</v>
      </c>
      <c r="Q6" s="2014" t="s">
        <v>1739</v>
      </c>
      <c r="R6" s="2014" t="s">
        <v>1143</v>
      </c>
      <c r="S6" s="2014" t="s">
        <v>1739</v>
      </c>
      <c r="T6" s="2014"/>
      <c r="U6" s="2014" t="s">
        <v>1739</v>
      </c>
      <c r="W6" s="2014" t="s">
        <v>1739</v>
      </c>
    </row>
    <row r="7" spans="1:23">
      <c r="A7" s="2012" t="s">
        <v>1740</v>
      </c>
      <c r="B7" s="2015" t="s">
        <v>1147</v>
      </c>
      <c r="C7" s="2013" t="s">
        <v>31</v>
      </c>
      <c r="F7" s="2014" t="s">
        <v>1741</v>
      </c>
      <c r="H7" s="2014" t="s">
        <v>1742</v>
      </c>
      <c r="I7" s="2014" t="s">
        <v>1743</v>
      </c>
    </row>
    <row r="8" spans="1:23">
      <c r="A8" s="2012" t="s">
        <v>1744</v>
      </c>
      <c r="B8" s="2012" t="s">
        <v>1745</v>
      </c>
      <c r="C8" s="2013" t="s">
        <v>764</v>
      </c>
      <c r="F8" s="2014" t="s">
        <v>1746</v>
      </c>
      <c r="H8" s="2014"/>
      <c r="I8" s="2014" t="s">
        <v>1747</v>
      </c>
    </row>
    <row r="9" spans="1:23">
      <c r="A9" s="2012" t="s">
        <v>1748</v>
      </c>
      <c r="B9" s="2012" t="s">
        <v>1749</v>
      </c>
      <c r="C9" s="2013" t="s">
        <v>765</v>
      </c>
      <c r="F9" s="2014" t="s">
        <v>1750</v>
      </c>
      <c r="H9" s="2014"/>
    </row>
    <row r="10" spans="1:23">
      <c r="A10" s="2012" t="s">
        <v>1751</v>
      </c>
      <c r="B10" s="2012" t="s">
        <v>1752</v>
      </c>
      <c r="C10" s="2013" t="s">
        <v>766</v>
      </c>
      <c r="F10" s="2014" t="s">
        <v>16</v>
      </c>
    </row>
    <row r="11" spans="1:23">
      <c r="A11" s="2012" t="s">
        <v>1753</v>
      </c>
      <c r="B11" s="2012" t="s">
        <v>1754</v>
      </c>
      <c r="C11" s="2013" t="s">
        <v>767</v>
      </c>
    </row>
    <row r="12" spans="1:23">
      <c r="A12" s="2012" t="s">
        <v>1755</v>
      </c>
      <c r="B12" s="2012" t="s">
        <v>1756</v>
      </c>
      <c r="C12" s="2013" t="s">
        <v>768</v>
      </c>
    </row>
    <row r="13" spans="1:23">
      <c r="A13" s="2012" t="s">
        <v>1757</v>
      </c>
      <c r="B13" s="2012" t="s">
        <v>1758</v>
      </c>
      <c r="C13" s="2013" t="s">
        <v>769</v>
      </c>
    </row>
    <row r="14" spans="1:23">
      <c r="A14" s="2012" t="s">
        <v>1759</v>
      </c>
      <c r="B14" s="2012" t="s">
        <v>1760</v>
      </c>
      <c r="C14" s="2014" t="s">
        <v>16</v>
      </c>
    </row>
    <row r="15" spans="1:23">
      <c r="A15" s="2012" t="s">
        <v>1761</v>
      </c>
      <c r="B15" s="2012" t="s">
        <v>1762</v>
      </c>
      <c r="C15" s="2013"/>
    </row>
    <row r="16" spans="1:23">
      <c r="A16" s="2012" t="s">
        <v>1763</v>
      </c>
      <c r="B16" s="2012" t="s">
        <v>756</v>
      </c>
      <c r="C16" s="2013"/>
    </row>
    <row r="17" spans="1:3">
      <c r="A17" s="2012" t="s">
        <v>1764</v>
      </c>
      <c r="B17" s="2012" t="s">
        <v>3165</v>
      </c>
      <c r="C17" s="2013"/>
    </row>
    <row r="18" spans="1:3">
      <c r="A18" s="2012" t="s">
        <v>1765</v>
      </c>
      <c r="B18" s="2012" t="s">
        <v>3167</v>
      </c>
      <c r="C18" s="2013"/>
    </row>
    <row r="19" spans="1:3">
      <c r="A19" s="2012" t="s">
        <v>1766</v>
      </c>
      <c r="B19" s="2012" t="s">
        <v>3171</v>
      </c>
      <c r="C19" s="2013"/>
    </row>
    <row r="20" spans="1:3">
      <c r="A20" s="2012" t="s">
        <v>1767</v>
      </c>
      <c r="B20" s="2012" t="s">
        <v>757</v>
      </c>
      <c r="C20" s="2013"/>
    </row>
    <row r="21" spans="1:3">
      <c r="A21" s="2012" t="s">
        <v>1768</v>
      </c>
      <c r="B21" s="2012" t="s">
        <v>757</v>
      </c>
      <c r="C21" s="2013"/>
    </row>
    <row r="22" spans="1:3">
      <c r="A22" s="2012" t="s">
        <v>1769</v>
      </c>
      <c r="B22" s="2012" t="s">
        <v>757</v>
      </c>
      <c r="C22" s="2013"/>
    </row>
    <row r="23" spans="1:3">
      <c r="A23" s="2012" t="s">
        <v>1770</v>
      </c>
      <c r="B23" s="2012" t="s">
        <v>757</v>
      </c>
      <c r="C23" s="2013"/>
    </row>
    <row r="24" spans="1:3">
      <c r="A24" s="2012" t="s">
        <v>1771</v>
      </c>
      <c r="B24" s="2012" t="s">
        <v>757</v>
      </c>
      <c r="C24" s="2013"/>
    </row>
    <row r="25" spans="1:3">
      <c r="A25" s="2012" t="s">
        <v>1772</v>
      </c>
      <c r="B25" s="2012" t="s">
        <v>757</v>
      </c>
      <c r="C25" s="2013"/>
    </row>
    <row r="26" spans="1:3">
      <c r="A26" s="2012" t="s">
        <v>1773</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1"/>
      <c r="B54" s="2020" t="s">
        <v>864</v>
      </c>
      <c r="C54" s="2017" t="s">
        <v>1281</v>
      </c>
    </row>
    <row r="55" spans="1:4">
      <c r="A55" s="3061"/>
      <c r="B55" s="2020" t="s">
        <v>865</v>
      </c>
      <c r="C55" s="2017" t="s">
        <v>1282</v>
      </c>
    </row>
    <row r="56" spans="1:4">
      <c r="A56" s="3061"/>
      <c r="B56" s="2020" t="s">
        <v>866</v>
      </c>
      <c r="C56" s="2017" t="s">
        <v>1286</v>
      </c>
    </row>
    <row r="57" spans="1:4">
      <c r="A57" s="306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D43" sqref="D4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1774</v>
      </c>
      <c r="B1" s="3070" t="str">
        <f>IF(B10="北京市","北京市",C10)&amp;F10&amp;IF(结果表仓储!G1="在建","出让国有建设用地使用权及在建建筑物",IF(结果表仓储!G1="土地","出让国有建设用地使用权",))&amp;B9&amp;"预评估"</f>
        <v>北京市房地产市场价值预评估</v>
      </c>
      <c r="C1" s="3071"/>
      <c r="D1" s="3071"/>
      <c r="E1" s="3071"/>
      <c r="F1" s="3071"/>
      <c r="G1" s="3071"/>
      <c r="H1" s="3071"/>
      <c r="I1" s="3072"/>
      <c r="J1" s="2024"/>
      <c r="K1" s="2025"/>
      <c r="L1" s="2026"/>
      <c r="M1" s="2026"/>
      <c r="N1" s="2027"/>
      <c r="O1" s="2028"/>
      <c r="P1" s="2027"/>
      <c r="Q1" s="2027"/>
      <c r="R1" s="2027"/>
      <c r="S1" s="2029"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4" t="s">
        <v>1775</v>
      </c>
      <c r="B2" s="1037"/>
      <c r="C2" s="2031"/>
      <c r="D2" s="2024"/>
      <c r="E2" s="2032"/>
      <c r="F2" s="2032"/>
      <c r="G2" s="2024"/>
      <c r="H2" s="2024"/>
      <c r="I2" s="2024"/>
      <c r="J2" s="2024"/>
      <c r="K2" s="2025"/>
      <c r="L2" s="2026"/>
      <c r="M2" s="2026"/>
      <c r="N2" s="2027"/>
      <c r="O2" s="2028"/>
      <c r="P2" s="2027"/>
      <c r="Q2" s="2027"/>
      <c r="R2" s="2027"/>
      <c r="S2" s="2029" t="str">
        <f>IF(B10="北京市","北京市",C10)&amp;F10&amp;IF(结果表仓储!G1="在建","出让国有建设用地使用权及在建建筑物房地产",IF(结果表仓储!G1="土地","出让国有建设用地使用权","房地产"))</f>
        <v>北京市房地产</v>
      </c>
    </row>
    <row r="3" spans="1:19" ht="18" customHeight="1">
      <c r="A3" s="2033" t="s">
        <v>1776</v>
      </c>
      <c r="B3" s="2034">
        <v>43236</v>
      </c>
      <c r="C3" s="2035" t="s">
        <v>1777</v>
      </c>
      <c r="D3" s="2034">
        <f>B3</f>
        <v>43236</v>
      </c>
      <c r="E3" s="2024"/>
      <c r="F3" s="2024"/>
      <c r="G3" s="2024"/>
      <c r="H3" s="2024"/>
      <c r="I3" s="2024"/>
      <c r="J3" s="2024"/>
      <c r="K3" s="2025"/>
      <c r="L3" s="2026"/>
      <c r="M3" s="2026"/>
      <c r="N3" s="2027"/>
      <c r="O3" s="2028"/>
      <c r="P3" s="2027"/>
      <c r="Q3" s="2027"/>
      <c r="R3" s="2027"/>
      <c r="S3" s="2029"/>
    </row>
    <row r="4" spans="1:19" ht="18" customHeight="1" thickBot="1">
      <c r="A4" s="2036" t="s">
        <v>1778</v>
      </c>
      <c r="B4" s="2037" t="s">
        <v>3047</v>
      </c>
      <c r="C4" s="1035">
        <f ca="1">SUMIF(注册房地产估价师,B4,估价师及机构信息!B3:B24)</f>
        <v>1120140022</v>
      </c>
      <c r="D4" s="2037" t="s">
        <v>3048</v>
      </c>
      <c r="E4" s="1036">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刘梅（注册号：1120140022)、吴薇（注册号：1419970001)</v>
      </c>
      <c r="L4" s="2026"/>
      <c r="M4" s="2026"/>
      <c r="N4" s="2027"/>
      <c r="O4" s="2028"/>
      <c r="P4" s="2027"/>
      <c r="Q4" s="2027"/>
      <c r="R4" s="2027"/>
      <c r="S4" s="2029"/>
    </row>
    <row r="5" spans="1:19" ht="18" customHeight="1" thickTop="1">
      <c r="A5" s="2042" t="s">
        <v>1779</v>
      </c>
      <c r="B5" s="2967" t="s">
        <v>3053</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1780</v>
      </c>
      <c r="B6" s="2968" t="s">
        <v>3054</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1781</v>
      </c>
      <c r="B7" s="2049" t="str">
        <f>B5</f>
        <v>北京杰伟科技发展有限公司</v>
      </c>
      <c r="C7" s="2046"/>
      <c r="D7" s="2047"/>
      <c r="E7" s="2032"/>
      <c r="F7" s="2040"/>
      <c r="G7" s="2040"/>
      <c r="H7" s="2040"/>
      <c r="I7" s="2040"/>
      <c r="J7" s="2040"/>
      <c r="K7" s="2050"/>
      <c r="L7" s="2026"/>
      <c r="M7" s="2026"/>
      <c r="N7" s="2027"/>
      <c r="O7" s="2028"/>
      <c r="P7" s="2027"/>
      <c r="Q7" s="2027"/>
      <c r="R7" s="2027"/>
    </row>
    <row r="8" spans="1:19" ht="18" customHeight="1">
      <c r="A8" s="2045" t="s">
        <v>1782</v>
      </c>
      <c r="B8" s="2051" t="s">
        <v>3049</v>
      </c>
      <c r="C8" s="2052"/>
      <c r="D8" s="3073" t="s">
        <v>1783</v>
      </c>
      <c r="E8" s="2053"/>
      <c r="F8" s="2054"/>
      <c r="G8" s="2024"/>
      <c r="H8" s="2024"/>
      <c r="I8" s="2024"/>
      <c r="J8" s="2040"/>
      <c r="K8" s="2041"/>
      <c r="L8" s="2026"/>
      <c r="M8" s="2026"/>
      <c r="N8" s="2027"/>
      <c r="O8" s="2028"/>
      <c r="P8" s="2027"/>
      <c r="Q8" s="2027"/>
      <c r="R8" s="2027"/>
    </row>
    <row r="9" spans="1:19" ht="18" customHeight="1" thickBot="1">
      <c r="A9" s="2038" t="s">
        <v>1784</v>
      </c>
      <c r="B9" s="2055" t="s">
        <v>3050</v>
      </c>
      <c r="C9" s="2056"/>
      <c r="D9" s="3074"/>
      <c r="E9" s="2055" t="s">
        <v>70</v>
      </c>
      <c r="F9" s="2057"/>
      <c r="G9" s="2058"/>
      <c r="H9" s="2058"/>
      <c r="I9" s="2058"/>
      <c r="J9" s="2040"/>
      <c r="K9" s="2050"/>
      <c r="L9" s="2026"/>
      <c r="M9" s="2026"/>
      <c r="N9" s="2027"/>
      <c r="O9" s="2028"/>
      <c r="P9" s="2027"/>
      <c r="Q9" s="2027"/>
      <c r="R9" s="2027"/>
    </row>
    <row r="10" spans="1:19" ht="18" customHeight="1" thickTop="1">
      <c r="A10" s="2059" t="s">
        <v>1785</v>
      </c>
      <c r="B10" s="2060" t="s">
        <v>3051</v>
      </c>
      <c r="C10" s="2061"/>
      <c r="D10" s="2044"/>
      <c r="E10" s="2062" t="s">
        <v>1786</v>
      </c>
      <c r="F10" s="2063"/>
      <c r="G10" s="2064"/>
      <c r="H10" s="2065"/>
      <c r="I10" s="2044"/>
      <c r="J10" s="2040"/>
      <c r="K10" s="2050"/>
      <c r="L10" s="2026"/>
      <c r="M10" s="2026"/>
      <c r="N10" s="2027"/>
      <c r="O10" s="2028"/>
      <c r="P10" s="2027"/>
      <c r="Q10" s="2027"/>
      <c r="R10" s="2027"/>
    </row>
    <row r="11" spans="1:19" ht="18" customHeight="1">
      <c r="A11" s="2066" t="s">
        <v>1787</v>
      </c>
      <c r="B11" s="2067" t="s">
        <v>3052</v>
      </c>
      <c r="C11" s="2068"/>
      <c r="D11" s="2069"/>
      <c r="E11" s="2040"/>
      <c r="F11" s="2040"/>
      <c r="G11" s="2040"/>
      <c r="H11" s="2040"/>
      <c r="I11" s="2040"/>
      <c r="J11" s="2040"/>
      <c r="K11" s="2050"/>
      <c r="L11" s="2026"/>
      <c r="M11" s="2026"/>
      <c r="N11" s="2027"/>
      <c r="O11" s="2028"/>
      <c r="P11" s="2027"/>
      <c r="Q11" s="2027"/>
      <c r="R11" s="2027"/>
    </row>
    <row r="12" spans="1:19" ht="18" customHeight="1">
      <c r="A12" s="2070" t="s">
        <v>1788</v>
      </c>
      <c r="B12" s="2067" t="s">
        <v>3055</v>
      </c>
      <c r="C12" s="2071" t="s">
        <v>1789</v>
      </c>
      <c r="D12" s="2072" t="s">
        <v>1790</v>
      </c>
      <c r="E12" s="2072" t="s">
        <v>1791</v>
      </c>
      <c r="F12" s="2072" t="s">
        <v>1792</v>
      </c>
      <c r="G12" s="2072" t="s">
        <v>1793</v>
      </c>
      <c r="H12" s="2072" t="s">
        <v>1794</v>
      </c>
      <c r="I12" s="2072" t="s">
        <v>1795</v>
      </c>
      <c r="J12" s="2040"/>
      <c r="K12" s="2050"/>
      <c r="L12" s="2026"/>
      <c r="M12" s="2026"/>
      <c r="N12" s="2027"/>
      <c r="O12" s="2028"/>
      <c r="P12" s="2027"/>
      <c r="Q12" s="2027"/>
      <c r="R12" s="2027"/>
    </row>
    <row r="13" spans="1:19" ht="18" customHeight="1">
      <c r="A13" s="2073"/>
      <c r="B13" s="2074"/>
      <c r="C13" s="2075" t="s">
        <v>1796</v>
      </c>
      <c r="D13" s="2076"/>
      <c r="E13" s="2076"/>
      <c r="F13" s="2076">
        <v>58987</v>
      </c>
      <c r="G13" s="2076">
        <v>58987</v>
      </c>
      <c r="H13" s="2076">
        <v>58987</v>
      </c>
      <c r="I13" s="1045"/>
      <c r="J13" s="2040"/>
      <c r="K13" s="2050"/>
      <c r="L13" s="2026"/>
      <c r="M13" s="2026"/>
      <c r="N13" s="2027"/>
      <c r="O13" s="2028"/>
      <c r="P13" s="2027"/>
      <c r="Q13" s="2027"/>
      <c r="R13" s="2027"/>
    </row>
    <row r="14" spans="1:19" ht="18" customHeight="1">
      <c r="A14" s="2073"/>
      <c r="B14" s="2074"/>
      <c r="C14" s="2075" t="s">
        <v>1797</v>
      </c>
      <c r="D14" s="1048"/>
      <c r="E14" s="1048"/>
      <c r="F14" s="1048">
        <v>50</v>
      </c>
      <c r="G14" s="1048">
        <v>50</v>
      </c>
      <c r="H14" s="1048">
        <v>50</v>
      </c>
      <c r="I14" s="1048"/>
      <c r="J14" s="2040"/>
      <c r="K14" s="2077"/>
      <c r="L14" s="2026"/>
      <c r="M14" s="2026"/>
      <c r="N14" s="2027"/>
      <c r="O14" s="2028"/>
      <c r="P14" s="2027"/>
      <c r="Q14" s="2027"/>
      <c r="R14" s="2027"/>
    </row>
    <row r="15" spans="1:19" ht="18" customHeight="1">
      <c r="A15" s="2059"/>
      <c r="B15" s="2078"/>
      <c r="C15" s="2075" t="s">
        <v>1798</v>
      </c>
      <c r="D15" s="1047" t="str">
        <f>IF(B12="出让",IF(D13="","",ROUNDDOWN(MIN((D13-$D$3)/365,D14),2)),D14)</f>
        <v/>
      </c>
      <c r="E15" s="1047" t="str">
        <f>IF(B12="出让",IF(E13="","",ROUNDDOWN(MIN((E13-$D$3)/365,E14),2)),E14)</f>
        <v/>
      </c>
      <c r="F15" s="1047">
        <f>IF(B12="出让",IF(F13="","",ROUNDDOWN(MIN((F13-$D$3)/365,F14),2)),F14)</f>
        <v>43.15</v>
      </c>
      <c r="G15" s="1047">
        <f>IF(B12="出让",IF(G13="","",ROUNDDOWN(MIN((G13-$D$3)/365,G14),2)),G14)</f>
        <v>43.15</v>
      </c>
      <c r="H15" s="1047">
        <f>IF(B12="出让",IF(H13="","",ROUNDDOWN(MIN((H13-$D$3)/365,H14),2)),H14)</f>
        <v>43.15</v>
      </c>
      <c r="I15" s="1047" t="str">
        <f>IF(B12="出让",IF(I13="","",ROUNDDOWN(MIN((I13-$D$3)/365,I14),2)),I14)</f>
        <v/>
      </c>
      <c r="J15" s="2040"/>
      <c r="K15" s="2079"/>
      <c r="L15" s="2080"/>
      <c r="M15" s="2080"/>
      <c r="N15" s="2081"/>
      <c r="O15" s="2080"/>
      <c r="P15" s="2081"/>
      <c r="Q15" s="2027"/>
      <c r="R15" s="2027"/>
    </row>
    <row r="16" spans="1:19" ht="30.75" customHeight="1">
      <c r="A16" s="2062" t="s">
        <v>1799</v>
      </c>
      <c r="B16" s="3080"/>
      <c r="C16" s="3081"/>
      <c r="D16" s="3082"/>
      <c r="E16" s="2082" t="s">
        <v>1800</v>
      </c>
      <c r="F16" s="3083"/>
      <c r="G16" s="3084"/>
      <c r="H16" s="3084"/>
      <c r="I16" s="3085"/>
      <c r="J16" s="2027"/>
      <c r="K16" s="2079"/>
      <c r="L16" s="2080"/>
      <c r="M16" s="2080"/>
      <c r="N16" s="2081"/>
      <c r="O16" s="2080"/>
      <c r="P16" s="2081"/>
      <c r="Q16" s="2027"/>
      <c r="R16" s="2027"/>
    </row>
    <row r="17" spans="1:22" ht="18" customHeight="1">
      <c r="A17" s="2083" t="s">
        <v>1801</v>
      </c>
      <c r="B17" s="2033" t="s">
        <v>1802</v>
      </c>
      <c r="C17" s="1052">
        <f>'数据-汇总表'!E3</f>
        <v>34007.5</v>
      </c>
      <c r="D17" s="2084" t="s">
        <v>1803</v>
      </c>
      <c r="E17" s="3086" t="s">
        <v>1804</v>
      </c>
      <c r="F17" s="3087"/>
      <c r="G17" s="3087"/>
      <c r="H17" s="3087"/>
      <c r="I17" s="3088"/>
      <c r="J17" s="2027"/>
      <c r="K17" s="2085"/>
      <c r="L17" s="2080"/>
      <c r="M17" s="2080"/>
      <c r="N17" s="2081"/>
      <c r="O17" s="2080"/>
      <c r="P17" s="2081"/>
      <c r="Q17" s="2027"/>
      <c r="R17" s="2027"/>
      <c r="S17" s="2027"/>
      <c r="T17" s="2027"/>
      <c r="U17" s="2027"/>
      <c r="V17" s="2027"/>
    </row>
    <row r="18" spans="1:22" ht="36" customHeight="1" thickBot="1">
      <c r="A18" s="2086" t="s">
        <v>1805</v>
      </c>
      <c r="B18" s="2036" t="s">
        <v>1806</v>
      </c>
      <c r="C18" s="1442">
        <f>'数据-汇总表'!D3</f>
        <v>15019.6</v>
      </c>
      <c r="D18" s="2087" t="s">
        <v>1803</v>
      </c>
      <c r="E18" s="3089" t="s">
        <v>1807</v>
      </c>
      <c r="F18" s="3090"/>
      <c r="G18" s="3090"/>
      <c r="H18" s="3090"/>
      <c r="I18" s="3091"/>
      <c r="J18" s="2027"/>
      <c r="K18" s="2085"/>
      <c r="L18" s="2080"/>
      <c r="M18" s="2080"/>
      <c r="N18" s="2081"/>
      <c r="O18" s="2080"/>
      <c r="P18" s="2081"/>
      <c r="Q18" s="2027"/>
      <c r="R18" s="2027"/>
      <c r="S18" s="2027"/>
      <c r="T18" s="2027"/>
      <c r="U18" s="2027"/>
      <c r="V18" s="2027"/>
    </row>
    <row r="19" spans="1:22" ht="37.5" customHeight="1" thickTop="1" thickBot="1">
      <c r="A19" s="372" t="s">
        <v>1808</v>
      </c>
      <c r="B19" s="351" t="s">
        <v>1809</v>
      </c>
      <c r="C19" s="2088"/>
      <c r="D19" s="2089" t="s">
        <v>1810</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1811</v>
      </c>
      <c r="B20" s="3076" t="s">
        <v>1812</v>
      </c>
      <c r="C20" s="3077"/>
      <c r="D20" s="3078" t="s">
        <v>1813</v>
      </c>
      <c r="E20" s="3079"/>
      <c r="F20" s="2094" t="s">
        <v>1814</v>
      </c>
      <c r="G20" s="2040"/>
      <c r="H20" s="2040"/>
      <c r="I20" s="2040"/>
      <c r="J20" s="2040"/>
      <c r="K20" s="3075"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1816</v>
      </c>
      <c r="C21" s="2096" t="s">
        <v>1817</v>
      </c>
      <c r="D21" s="2097" t="s">
        <v>1818</v>
      </c>
      <c r="E21" s="2098" t="s">
        <v>1817</v>
      </c>
      <c r="F21" s="2099"/>
      <c r="G21" s="2040"/>
      <c r="H21" s="2040"/>
      <c r="I21" s="2040"/>
      <c r="J21" s="2040"/>
      <c r="K21" s="307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1819</v>
      </c>
      <c r="C22" s="2096" t="s">
        <v>1820</v>
      </c>
      <c r="D22" s="2024"/>
      <c r="E22" s="2024"/>
      <c r="F22" s="2101"/>
      <c r="G22" s="2040"/>
      <c r="H22" s="2040"/>
      <c r="I22" s="2040"/>
      <c r="J22" s="2040"/>
      <c r="K22" s="3075"/>
      <c r="L22" s="747"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1821</v>
      </c>
      <c r="B23" s="182" t="s">
        <v>1822</v>
      </c>
      <c r="C23" s="2103"/>
      <c r="D23" s="2104" t="s">
        <v>1822</v>
      </c>
      <c r="E23" s="2105"/>
      <c r="F23" s="2101"/>
      <c r="G23" s="2040"/>
      <c r="H23" s="2040"/>
      <c r="I23" s="2040"/>
      <c r="J23" s="2040"/>
      <c r="K23" s="2106"/>
      <c r="L23" s="747"/>
      <c r="M23" s="2026"/>
      <c r="N23" s="2081"/>
      <c r="O23" s="2080"/>
      <c r="P23" s="2081"/>
      <c r="Q23" s="2027"/>
      <c r="R23" s="2027"/>
      <c r="S23" s="2027"/>
      <c r="T23" s="2027"/>
      <c r="U23" s="2027"/>
      <c r="V23" s="2027"/>
    </row>
    <row r="24" spans="1:22" ht="18" customHeight="1">
      <c r="A24" s="2107"/>
      <c r="B24" s="182" t="s">
        <v>1823</v>
      </c>
      <c r="C24" s="2108"/>
      <c r="D24" s="2102" t="s">
        <v>1823</v>
      </c>
      <c r="E24" s="2109"/>
      <c r="F24" s="2101"/>
      <c r="G24" s="2040"/>
      <c r="H24" s="2040"/>
      <c r="I24" s="2040"/>
      <c r="J24" s="2040"/>
      <c r="K24" s="2106"/>
      <c r="L24" s="747"/>
      <c r="M24" s="2026"/>
      <c r="N24" s="2081"/>
      <c r="O24" s="2080"/>
      <c r="P24" s="2081"/>
      <c r="Q24" s="2027"/>
      <c r="R24" s="2027"/>
      <c r="S24" s="2027"/>
      <c r="T24" s="2027"/>
      <c r="U24" s="2027"/>
      <c r="V24" s="2027"/>
    </row>
    <row r="25" spans="1:22" ht="18" customHeight="1">
      <c r="A25" s="2107"/>
      <c r="B25" s="182" t="s">
        <v>1824</v>
      </c>
      <c r="C25" s="2108"/>
      <c r="D25" s="2102" t="s">
        <v>1824</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1825</v>
      </c>
      <c r="C26" s="2112"/>
      <c r="D26" s="2113" t="s">
        <v>1826</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63" t="s">
        <v>1827</v>
      </c>
      <c r="B27" s="2059" t="s">
        <v>1828</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63"/>
      <c r="B28" s="2033" t="s">
        <v>1829</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63"/>
      <c r="B29" s="2033" t="s">
        <v>1830</v>
      </c>
      <c r="C29" s="2121" t="s">
        <v>3058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64"/>
      <c r="B30" s="2033" t="s">
        <v>1831</v>
      </c>
      <c r="C30" s="3065"/>
      <c r="D30" s="306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67" t="s">
        <v>1832</v>
      </c>
      <c r="B31" s="2123" t="s">
        <v>3059</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6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6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1833</v>
      </c>
      <c r="B34" s="2130" t="s">
        <v>3060</v>
      </c>
      <c r="C34" s="2130" t="s">
        <v>3061</v>
      </c>
      <c r="D34" s="2130" t="s">
        <v>3062</v>
      </c>
      <c r="E34" s="2130" t="s">
        <v>3063</v>
      </c>
      <c r="F34" s="2130" t="s">
        <v>3064</v>
      </c>
      <c r="G34" s="2130" t="s">
        <v>70</v>
      </c>
      <c r="H34" s="2130"/>
      <c r="I34" s="2040"/>
      <c r="J34" s="2040"/>
      <c r="K34" s="1793">
        <f>COUNTIF(B34:H34,"——")</f>
        <v>1</v>
      </c>
      <c r="L34" s="2071" t="s">
        <v>1834</v>
      </c>
      <c r="M34" s="2071" t="s">
        <v>1835</v>
      </c>
      <c r="N34" s="2071" t="s">
        <v>1836</v>
      </c>
      <c r="O34" s="2071" t="s">
        <v>1837</v>
      </c>
      <c r="P34" s="2071" t="s">
        <v>1838</v>
      </c>
      <c r="Q34" s="2071" t="s">
        <v>1839</v>
      </c>
      <c r="R34" s="2071" t="s">
        <v>1840</v>
      </c>
      <c r="S34" s="3062" t="s">
        <v>1841</v>
      </c>
      <c r="T34" s="2131" t="str">
        <f>NUMBERSTRING(7-K34,1)&amp;"通"</f>
        <v>六通</v>
      </c>
      <c r="U34" s="2027"/>
      <c r="V34" s="2027"/>
    </row>
    <row r="35" spans="1:22" ht="18" customHeight="1">
      <c r="A35" s="2132"/>
      <c r="B35" s="3069" t="s">
        <v>1842</v>
      </c>
      <c r="C35" s="3069"/>
      <c r="D35" s="3069"/>
      <c r="E35" s="3069"/>
      <c r="F35" s="2133">
        <f>C10</f>
        <v>0</v>
      </c>
      <c r="G35" s="2040"/>
      <c r="H35" s="2040"/>
      <c r="I35" s="2040"/>
      <c r="J35" s="2040"/>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62"/>
      <c r="T35" s="47" t="str">
        <f>IF(T34="一通",L35,IF(T34="二通",M35,IF(T34="三通",N35,IF(T34="四通",O35,IF(T34="五通",P35,IF(T34="六通",Q35,R35))))))</f>
        <v>通路、通电、通讯、通上水、通下水、——</v>
      </c>
      <c r="U35" s="2027"/>
      <c r="V35" s="2027"/>
    </row>
    <row r="36" spans="1:22" ht="18" customHeight="1">
      <c r="A36" s="2134"/>
      <c r="B36" s="2133" t="s">
        <v>1843</v>
      </c>
      <c r="C36" s="2133" t="s">
        <v>1844</v>
      </c>
      <c r="D36" s="2133" t="s">
        <v>1845</v>
      </c>
      <c r="E36" s="2133" t="s">
        <v>1846</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1847</v>
      </c>
      <c r="B37" s="2137"/>
      <c r="C37" s="2137" t="s">
        <v>523</v>
      </c>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1848</v>
      </c>
      <c r="B38" s="2139"/>
      <c r="C38" s="2139" t="s">
        <v>229</v>
      </c>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5"/>
      <c r="L40" s="2080"/>
      <c r="M40" s="2080"/>
      <c r="N40" s="2081"/>
      <c r="O40" s="2080"/>
      <c r="P40" s="2027"/>
      <c r="Q40" s="2027"/>
      <c r="R40" s="2027"/>
      <c r="S40" s="2027"/>
      <c r="T40" s="2027"/>
      <c r="U40" s="2027"/>
      <c r="V40" s="2027"/>
    </row>
    <row r="41" spans="1:22" ht="18" customHeight="1">
      <c r="A41" s="8" t="s">
        <v>1850</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1851</v>
      </c>
      <c r="B42" s="1793" t="s">
        <v>1852</v>
      </c>
      <c r="C42" s="1793" t="s">
        <v>1853</v>
      </c>
      <c r="D42" s="1793" t="s">
        <v>1854</v>
      </c>
      <c r="E42" s="1793" t="s">
        <v>1855</v>
      </c>
      <c r="F42" s="1793" t="s">
        <v>1856</v>
      </c>
      <c r="G42" s="1793" t="s">
        <v>1857</v>
      </c>
      <c r="H42" s="1793" t="s">
        <v>1858</v>
      </c>
      <c r="I42" s="1793" t="s">
        <v>1859</v>
      </c>
      <c r="J42" s="2149" t="s">
        <v>1860</v>
      </c>
      <c r="K42" s="2072" t="s">
        <v>1861</v>
      </c>
      <c r="L42" s="2072" t="s">
        <v>1862</v>
      </c>
      <c r="M42" s="2072" t="s">
        <v>1863</v>
      </c>
      <c r="N42" s="1793" t="s">
        <v>1864</v>
      </c>
      <c r="O42" s="1793" t="s">
        <v>1865</v>
      </c>
      <c r="P42" s="1793" t="s">
        <v>1866</v>
      </c>
      <c r="Q42" s="2071" t="s">
        <v>1867</v>
      </c>
      <c r="R42" s="2071" t="s">
        <v>1868</v>
      </c>
      <c r="S42" s="2027"/>
      <c r="T42" s="2027"/>
      <c r="U42" s="2027"/>
      <c r="V42" s="2027"/>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1874</v>
      </c>
      <c r="AZ2" s="1268"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3004">
        <v>15019.6</v>
      </c>
      <c r="B3" s="13">
        <f>IF(C3="否",G5-AT5,G5)</f>
        <v>34007.5</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1878</v>
      </c>
      <c r="B5" s="1801"/>
      <c r="C5" s="1801"/>
      <c r="D5" s="1804"/>
      <c r="E5" s="15" t="s">
        <v>1</v>
      </c>
      <c r="F5" s="15">
        <f>SUM(F13:F587)</f>
        <v>0</v>
      </c>
      <c r="G5" s="15">
        <f>SUM(G13:G587)</f>
        <v>34007.5</v>
      </c>
      <c r="H5" s="15">
        <f t="shared" ref="H5:AT5" si="0">SUM(H13:H656)</f>
        <v>34007.5</v>
      </c>
      <c r="I5" s="15">
        <f t="shared" si="0"/>
        <v>24052.409999999996</v>
      </c>
      <c r="J5" s="15">
        <f t="shared" si="0"/>
        <v>0</v>
      </c>
      <c r="K5" s="15">
        <f t="shared" si="0"/>
        <v>6180.34</v>
      </c>
      <c r="L5" s="15">
        <f t="shared" si="0"/>
        <v>0</v>
      </c>
      <c r="M5" s="15">
        <f t="shared" si="0"/>
        <v>3774.75</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1878</v>
      </c>
      <c r="AW5" s="1801"/>
      <c r="AX5" s="1801"/>
      <c r="AY5" s="16" t="s">
        <v>3</v>
      </c>
      <c r="AZ5" s="17">
        <f t="shared" ref="AZ5:BT5" si="1">SUM(AZ13:AZ656)</f>
        <v>34007.5</v>
      </c>
      <c r="BA5" s="17">
        <f t="shared" si="1"/>
        <v>34007.5</v>
      </c>
      <c r="BB5" s="17">
        <f t="shared" si="1"/>
        <v>24052.409999999996</v>
      </c>
      <c r="BC5" s="17">
        <f t="shared" si="1"/>
        <v>6180.34</v>
      </c>
      <c r="BD5" s="17">
        <f t="shared" si="1"/>
        <v>3774.75</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1879</v>
      </c>
      <c r="B6" s="2171"/>
      <c r="C6" s="2171"/>
      <c r="D6" s="2172"/>
      <c r="E6" s="15">
        <f>H6+AC6+AT6</f>
        <v>15019.599999999999</v>
      </c>
      <c r="F6" s="15" t="s">
        <v>1</v>
      </c>
      <c r="G6" s="15" t="s">
        <v>2</v>
      </c>
      <c r="H6" s="19">
        <f>SUMIF(I$12:AB$12,"总值",I6:AB6)</f>
        <v>15019.599999999999</v>
      </c>
      <c r="I6" s="15">
        <f t="shared" ref="I6:AB6" si="2">ROUND($A$3*I5/$B$3,2)</f>
        <v>10622.88</v>
      </c>
      <c r="J6" s="15">
        <f t="shared" si="2"/>
        <v>0</v>
      </c>
      <c r="K6" s="15">
        <f t="shared" si="2"/>
        <v>2729.58</v>
      </c>
      <c r="L6" s="15">
        <f t="shared" si="2"/>
        <v>0</v>
      </c>
      <c r="M6" s="15">
        <f t="shared" si="2"/>
        <v>1667.14</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1879</v>
      </c>
      <c r="AW6" s="2171"/>
      <c r="AX6" s="2171"/>
      <c r="AY6" s="20">
        <f>IF(AY3&gt;0,AY3,ROUND($A$3*AZ5/$B$3,2))</f>
        <v>15019.6</v>
      </c>
      <c r="AZ6" s="15" t="s">
        <v>3</v>
      </c>
      <c r="BA6" s="15">
        <f>ROUND($AY$6*BA5/$AZ$5,2)</f>
        <v>15019.6</v>
      </c>
      <c r="BB6" s="15">
        <f>ROUND($AY$6*BB5/$AZ$5,2)</f>
        <v>10622.88</v>
      </c>
      <c r="BC6" s="15">
        <f t="shared" ref="BC6:BH6" si="4">ROUND($AY$6*BC5/$AZ$5,2)</f>
        <v>2729.58</v>
      </c>
      <c r="BD6" s="15">
        <f t="shared" si="4"/>
        <v>1667.14</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1887</v>
      </c>
      <c r="AV7" s="22" t="s">
        <v>1888</v>
      </c>
      <c r="AW7" s="2163" t="s">
        <v>1889</v>
      </c>
      <c r="AX7" s="22" t="s">
        <v>1882</v>
      </c>
      <c r="AY7" s="1801"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6"/>
      <c r="K8" s="1816"/>
      <c r="L8" s="1816"/>
      <c r="M8" s="1816"/>
      <c r="N8" s="1816"/>
      <c r="O8" s="1816"/>
      <c r="P8" s="1816"/>
      <c r="Q8" s="1816"/>
      <c r="R8" s="1816"/>
      <c r="S8" s="1816"/>
      <c r="T8" s="1816"/>
      <c r="U8" s="1816"/>
      <c r="V8" s="2183"/>
      <c r="W8" s="1816"/>
      <c r="X8" s="1816"/>
      <c r="Y8" s="1816"/>
      <c r="Z8" s="1816"/>
      <c r="AA8" s="2183"/>
      <c r="AB8" s="2184"/>
      <c r="AC8" s="979" t="s">
        <v>1893</v>
      </c>
      <c r="AD8" s="2185"/>
      <c r="AE8" s="2177"/>
      <c r="AF8" s="1816"/>
      <c r="AG8" s="1816"/>
      <c r="AH8" s="1816"/>
      <c r="AI8" s="1816"/>
      <c r="AJ8" s="1816"/>
      <c r="AK8" s="1816"/>
      <c r="AL8" s="1816"/>
      <c r="AM8" s="1816"/>
      <c r="AN8" s="1816"/>
      <c r="AO8" s="1816"/>
      <c r="AP8" s="1816"/>
      <c r="AQ8" s="1816"/>
      <c r="AR8" s="1816"/>
      <c r="AS8" s="1816"/>
      <c r="AT8" s="1290" t="s">
        <v>1894</v>
      </c>
      <c r="AU8" s="2179" t="s">
        <v>1895</v>
      </c>
      <c r="AV8" s="1290"/>
      <c r="AW8" s="2162"/>
      <c r="AX8" s="1290"/>
      <c r="AY8" s="2163"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6" customFormat="1" ht="12.75">
      <c r="A9" s="2179"/>
      <c r="B9" s="2179"/>
      <c r="C9" s="2179"/>
      <c r="D9" s="2179"/>
      <c r="E9" s="2179"/>
      <c r="F9" s="2179"/>
      <c r="G9" s="1290"/>
      <c r="H9" s="2187" t="s">
        <v>1898</v>
      </c>
      <c r="I9" s="2188" t="s">
        <v>3066</v>
      </c>
      <c r="J9" s="979"/>
      <c r="K9" s="2188" t="s">
        <v>3067</v>
      </c>
      <c r="L9" s="979"/>
      <c r="M9" s="2188" t="s">
        <v>3067</v>
      </c>
      <c r="N9" s="979"/>
      <c r="O9" s="2188"/>
      <c r="P9" s="979"/>
      <c r="Q9" s="2188"/>
      <c r="R9" s="979"/>
      <c r="S9" s="2188"/>
      <c r="T9" s="979"/>
      <c r="U9" s="2188"/>
      <c r="V9" s="979"/>
      <c r="W9" s="2188"/>
      <c r="X9" s="2189"/>
      <c r="Y9" s="2188"/>
      <c r="Z9" s="979"/>
      <c r="AA9" s="2188"/>
      <c r="AB9" s="979"/>
      <c r="AC9" s="2180" t="s">
        <v>1898</v>
      </c>
      <c r="AD9" s="14" t="s">
        <v>1899</v>
      </c>
      <c r="AE9" s="1296"/>
      <c r="AF9" s="14" t="s">
        <v>1900</v>
      </c>
      <c r="AG9" s="1296"/>
      <c r="AH9" s="14" t="s">
        <v>1899</v>
      </c>
      <c r="AI9" s="1296"/>
      <c r="AJ9" s="14" t="s">
        <v>1900</v>
      </c>
      <c r="AK9" s="1296"/>
      <c r="AL9" s="14" t="s">
        <v>1899</v>
      </c>
      <c r="AM9" s="1296"/>
      <c r="AN9" s="14" t="s">
        <v>1900</v>
      </c>
      <c r="AO9" s="1296"/>
      <c r="AP9" s="14" t="s">
        <v>1899</v>
      </c>
      <c r="AQ9" s="1296"/>
      <c r="AR9" s="14" t="s">
        <v>1900</v>
      </c>
      <c r="AS9" s="2190"/>
      <c r="AT9" s="2179"/>
      <c r="AU9" s="2179" t="s">
        <v>1901</v>
      </c>
      <c r="AV9" s="1290"/>
      <c r="AW9" s="2162"/>
      <c r="AX9" s="1290"/>
      <c r="AY9" s="27"/>
      <c r="AZ9" s="27" t="s">
        <v>1891</v>
      </c>
      <c r="BA9" s="2191" t="s">
        <v>1902</v>
      </c>
      <c r="BB9" s="2192"/>
      <c r="BC9" s="1336"/>
      <c r="BD9" s="1336"/>
      <c r="BE9" s="1336"/>
      <c r="BF9" s="1336"/>
      <c r="BG9" s="1336"/>
      <c r="BH9" s="1336"/>
      <c r="BI9" s="1336"/>
      <c r="BJ9" s="1336"/>
      <c r="BK9" s="2193"/>
      <c r="BL9" s="14" t="s">
        <v>1903</v>
      </c>
      <c r="BM9" s="1816"/>
      <c r="BN9" s="2182"/>
      <c r="BO9" s="1816"/>
      <c r="BP9" s="1816"/>
      <c r="BQ9" s="1816"/>
      <c r="BR9" s="1816"/>
      <c r="BS9" s="1816"/>
      <c r="BT9" s="25"/>
    </row>
    <row r="10" spans="1:72" s="2186" customFormat="1" ht="12.75">
      <c r="A10" s="2179"/>
      <c r="B10" s="2179"/>
      <c r="C10" s="2179"/>
      <c r="D10" s="2179"/>
      <c r="E10" s="2179"/>
      <c r="F10" s="2179"/>
      <c r="G10" s="1290"/>
      <c r="H10" s="27"/>
      <c r="I10" s="2188" t="s">
        <v>27</v>
      </c>
      <c r="J10" s="979"/>
      <c r="K10" s="2194" t="s">
        <v>3068</v>
      </c>
      <c r="L10" s="979"/>
      <c r="M10" s="2194" t="s">
        <v>3069</v>
      </c>
      <c r="N10" s="979"/>
      <c r="O10" s="2194"/>
      <c r="P10" s="979"/>
      <c r="Q10" s="2194"/>
      <c r="R10" s="979"/>
      <c r="S10" s="2194"/>
      <c r="T10" s="979"/>
      <c r="U10" s="2194"/>
      <c r="V10" s="979"/>
      <c r="W10" s="2194"/>
      <c r="X10" s="979"/>
      <c r="Y10" s="2194"/>
      <c r="Z10" s="979"/>
      <c r="AA10" s="2194"/>
      <c r="AB10" s="979"/>
      <c r="AC10" s="1290"/>
      <c r="AD10" s="14" t="s">
        <v>1904</v>
      </c>
      <c r="AE10" s="2195"/>
      <c r="AF10" s="14" t="s">
        <v>1904</v>
      </c>
      <c r="AG10" s="2195"/>
      <c r="AH10" s="14" t="s">
        <v>1905</v>
      </c>
      <c r="AI10" s="2195"/>
      <c r="AJ10" s="14" t="s">
        <v>1905</v>
      </c>
      <c r="AK10" s="2195"/>
      <c r="AL10" s="14" t="s">
        <v>1906</v>
      </c>
      <c r="AM10" s="1296"/>
      <c r="AN10" s="14" t="s">
        <v>1906</v>
      </c>
      <c r="AO10" s="1296"/>
      <c r="AP10" s="14" t="s">
        <v>1907</v>
      </c>
      <c r="AQ10" s="1296"/>
      <c r="AR10" s="14" t="s">
        <v>1907</v>
      </c>
      <c r="AS10" s="1296"/>
      <c r="AT10" s="2179"/>
      <c r="AU10" s="2179"/>
      <c r="AV10" s="1290"/>
      <c r="AW10" s="2162"/>
      <c r="AX10" s="1290"/>
      <c r="AY10" s="27"/>
      <c r="AZ10" s="27"/>
      <c r="BA10" s="2196" t="s">
        <v>1898</v>
      </c>
      <c r="BB10" s="2197"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5" t="str">
        <f>AD9</f>
        <v>地上</v>
      </c>
      <c r="BN10" s="28" t="str">
        <f>AF9</f>
        <v>地下</v>
      </c>
      <c r="BO10" s="1815" t="str">
        <f>AH9</f>
        <v>地上</v>
      </c>
      <c r="BP10" s="28" t="str">
        <f>AJ9</f>
        <v>地下</v>
      </c>
      <c r="BQ10" s="1815" t="str">
        <f>AL9</f>
        <v>地上</v>
      </c>
      <c r="BR10" s="28" t="str">
        <f>AN9</f>
        <v>地下</v>
      </c>
      <c r="BS10" s="1815" t="str">
        <f>AP9</f>
        <v>地上</v>
      </c>
      <c r="BT10" s="2198" t="str">
        <f>AR9</f>
        <v>地下</v>
      </c>
    </row>
    <row r="11" spans="1:72" s="2186" customFormat="1" ht="12.75">
      <c r="A11" s="2179"/>
      <c r="B11" s="2179"/>
      <c r="C11" s="2179"/>
      <c r="D11" s="2179"/>
      <c r="E11" s="2179"/>
      <c r="F11" s="2179"/>
      <c r="G11" s="1290"/>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1908</v>
      </c>
      <c r="AE11" s="1817"/>
      <c r="AF11" s="2201" t="s">
        <v>1908</v>
      </c>
      <c r="AG11" s="1817"/>
      <c r="AH11" s="2201" t="s">
        <v>1909</v>
      </c>
      <c r="AI11" s="2202"/>
      <c r="AJ11" s="2201" t="s">
        <v>1909</v>
      </c>
      <c r="AK11" s="1817"/>
      <c r="AL11" s="1815"/>
      <c r="AM11" s="1817"/>
      <c r="AN11" s="1815"/>
      <c r="AO11" s="1817"/>
      <c r="AP11" s="1815"/>
      <c r="AQ11" s="1817"/>
      <c r="AR11" s="1815"/>
      <c r="AS11" s="1817"/>
      <c r="AT11" s="2162"/>
      <c r="AU11" s="2179"/>
      <c r="AV11" s="1290"/>
      <c r="AW11" s="2162"/>
      <c r="AX11" s="1290"/>
      <c r="AY11" s="27"/>
      <c r="AZ11" s="27"/>
      <c r="BA11" s="27"/>
      <c r="BB11" s="2184" t="str">
        <f>I10</f>
        <v>办公</v>
      </c>
      <c r="BC11" s="2184" t="str">
        <f>K10</f>
        <v>仓储</v>
      </c>
      <c r="BD11" s="2184" t="str">
        <f>M10</f>
        <v>车库</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6"/>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4" t="s">
        <v>1911</v>
      </c>
      <c r="AT12" s="2207"/>
      <c r="AU12" s="2204"/>
      <c r="AV12" s="30"/>
      <c r="AW12" s="2163"/>
      <c r="AX12" s="30"/>
      <c r="AY12" s="2208"/>
      <c r="AZ12" s="27"/>
      <c r="BA12" s="2196"/>
      <c r="BB12" s="23">
        <f>I11</f>
        <v>0</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3" t="str">
        <f>AH11</f>
        <v>（住宅、计出让金）</v>
      </c>
      <c r="BP12" s="23" t="str">
        <f>AJ11</f>
        <v>（住宅、计出让金）</v>
      </c>
      <c r="BQ12" s="23">
        <f>AL11</f>
        <v>0</v>
      </c>
      <c r="BR12" s="23">
        <f>AN11</f>
        <v>0</v>
      </c>
      <c r="BS12" s="24">
        <f>AP11</f>
        <v>0</v>
      </c>
      <c r="BT12" s="2203">
        <f>AR11</f>
        <v>0</v>
      </c>
    </row>
    <row r="13" spans="1:72" s="2164" customFormat="1" ht="12.75">
      <c r="A13" s="1270"/>
      <c r="B13" s="1270"/>
      <c r="C13" s="2969">
        <v>39</v>
      </c>
      <c r="D13" s="2210" t="s">
        <v>3065</v>
      </c>
      <c r="E13" s="15">
        <f>IF($C$3="是",ROUND($A$3*G13/$B$3,2),ROUND($A$3*(G13-AT13)/$B$3,2))</f>
        <v>2920.41</v>
      </c>
      <c r="F13" s="31"/>
      <c r="G13" s="32">
        <f>H13+AC13+AT13</f>
        <v>6612.42</v>
      </c>
      <c r="H13" s="19">
        <f>SUMIF(I$12:AB$12,"总值",I13:AB13)</f>
        <v>6612.42</v>
      </c>
      <c r="I13" s="3003">
        <v>6612.42</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39</v>
      </c>
      <c r="AY13" s="1804">
        <f>ROUND($AY$6*AZ13/$AZ$5,2)</f>
        <v>2920.41</v>
      </c>
      <c r="AZ13" s="15">
        <f>BA13+BL13</f>
        <v>6612.42</v>
      </c>
      <c r="BA13" s="15">
        <f>SUM(BB13:BK13)</f>
        <v>6612.42</v>
      </c>
      <c r="BB13" s="15">
        <f>IF($D13="是",I13-J13,0)</f>
        <v>6612.42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0"/>
      <c r="B14" s="1270"/>
      <c r="C14" s="2150">
        <v>40</v>
      </c>
      <c r="D14" s="2210" t="s">
        <v>3065</v>
      </c>
      <c r="E14" s="15">
        <f>IF($C$3="是",ROUND($A$3*G14/$B$3,2),ROUND($A$3*(G14-AT14)/$B$3,2))</f>
        <v>4732.59</v>
      </c>
      <c r="F14" s="31"/>
      <c r="G14" s="32">
        <f>H14+AC14+AT14</f>
        <v>10715.57</v>
      </c>
      <c r="H14" s="19">
        <f>SUMIF(I$12:AB$12,"总值",I14:AB14)</f>
        <v>10715.57</v>
      </c>
      <c r="I14" s="2211">
        <v>10715.57</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40</v>
      </c>
      <c r="AY14" s="1804">
        <f>ROUND($AY$6*AZ14/$AZ$5,2)</f>
        <v>4732.59</v>
      </c>
      <c r="AZ14" s="15">
        <f>BA14+BL14</f>
        <v>10715.57</v>
      </c>
      <c r="BA14" s="15">
        <f>SUM(BB14:BK14)</f>
        <v>10715.57</v>
      </c>
      <c r="BB14" s="15">
        <f>IF($D14="是",I14-J14,0)</f>
        <v>10715.57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0"/>
      <c r="B15" s="1270"/>
      <c r="C15" s="2150">
        <v>41</v>
      </c>
      <c r="D15" s="2210" t="s">
        <v>3065</v>
      </c>
      <c r="E15" s="15">
        <f>IF($C$3="是",ROUND($A$3*G15/$B$3,2),ROUND($A$3*(G15-AT15)/$B$3,2))</f>
        <v>2969.88</v>
      </c>
      <c r="F15" s="31"/>
      <c r="G15" s="32">
        <f>H15+AC15+AT15</f>
        <v>6724.42</v>
      </c>
      <c r="H15" s="19">
        <f>SUMIF(I$12:AB$12,"总值",I15:AB15)</f>
        <v>6724.42</v>
      </c>
      <c r="I15" s="2211">
        <v>6724.42</v>
      </c>
      <c r="J15" s="2211"/>
      <c r="K15" s="2211"/>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41</v>
      </c>
      <c r="AY15" s="1804">
        <f>ROUND($AY$6*AZ15/$AZ$5,2)</f>
        <v>2969.88</v>
      </c>
      <c r="AZ15" s="15">
        <f>BA15+BL15</f>
        <v>6724.42</v>
      </c>
      <c r="BA15" s="15">
        <f>SUM(BB15:BK15)</f>
        <v>6724.42</v>
      </c>
      <c r="BB15" s="15">
        <f>IF($D15="是",I15-J15,0)</f>
        <v>6724.42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0"/>
      <c r="B16" s="1270"/>
      <c r="C16" s="2150">
        <v>42</v>
      </c>
      <c r="D16" s="2210" t="s">
        <v>3065</v>
      </c>
      <c r="E16" s="15">
        <f>IF($C$3="是",ROUND($A$3*G16/$B$3,2),ROUND($A$3*(G16-AT16)/$B$3,2))</f>
        <v>4396.72</v>
      </c>
      <c r="F16" s="31"/>
      <c r="G16" s="32">
        <f>H16+AC16+AT16</f>
        <v>9955.09</v>
      </c>
      <c r="H16" s="19">
        <f>SUMIF(I$12:AB$12,"总值",I16:AB16)</f>
        <v>9955.09</v>
      </c>
      <c r="I16" s="2211"/>
      <c r="J16" s="2211"/>
      <c r="K16" s="2211">
        <v>6180.34</v>
      </c>
      <c r="L16" s="2211"/>
      <c r="M16" s="2211">
        <v>3774.75</v>
      </c>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42</v>
      </c>
      <c r="AY16" s="1804">
        <f>ROUND($AY$6*AZ16/$AZ$5,2)</f>
        <v>4396.72</v>
      </c>
      <c r="AZ16" s="15">
        <f>BA16+BL16</f>
        <v>9955.09</v>
      </c>
      <c r="BA16" s="15">
        <f>SUM(BB16:BK16)</f>
        <v>9955.09</v>
      </c>
      <c r="BB16" s="15">
        <f>IF($D16="是",I16-J16,0)</f>
        <v>0</v>
      </c>
      <c r="BC16" s="15">
        <f>IF($D16="是",K16-L16,0)</f>
        <v>6180.34</v>
      </c>
      <c r="BD16" s="15">
        <f>IF($D16="是",M16-N16,0)</f>
        <v>3774.75</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0"/>
      <c r="B17" s="1270"/>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0" sqref="G1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0"/>
      <c r="C1" s="1390"/>
      <c r="D1" s="1390"/>
      <c r="E1" s="1390"/>
      <c r="F1" s="1390"/>
      <c r="G1" s="1390"/>
      <c r="H1" s="1390"/>
      <c r="I1" s="1390"/>
      <c r="J1" s="1390"/>
      <c r="K1" s="1390"/>
      <c r="L1" s="1390"/>
      <c r="M1" s="1390"/>
      <c r="N1" s="1390"/>
      <c r="O1" s="1390"/>
      <c r="P1" s="1390"/>
    </row>
    <row r="2" spans="1:16" ht="15">
      <c r="A2" s="3103" t="s">
        <v>1938</v>
      </c>
      <c r="B2" s="3103"/>
      <c r="C2" s="3103"/>
      <c r="D2" s="965" t="s">
        <v>1914</v>
      </c>
      <c r="E2" s="2224" t="s">
        <v>1915</v>
      </c>
      <c r="F2" s="1390"/>
      <c r="G2" s="2225"/>
      <c r="H2" s="2226"/>
      <c r="I2" s="2227" t="s">
        <v>1939</v>
      </c>
      <c r="J2" s="1390"/>
      <c r="K2" s="1390"/>
      <c r="L2" s="1390"/>
      <c r="M2" s="1390"/>
      <c r="N2" s="1425"/>
      <c r="O2" s="1390"/>
      <c r="P2" s="1390"/>
    </row>
    <row r="3" spans="1:16" ht="15.75" thickBot="1">
      <c r="A3" s="3104" t="s">
        <v>1912</v>
      </c>
      <c r="B3" s="3104"/>
      <c r="C3" s="3104"/>
      <c r="D3" s="45">
        <f>'数据-基础表'!AY6</f>
        <v>15019.6</v>
      </c>
      <c r="E3" s="45">
        <f>'数据-基础表'!AZ5</f>
        <v>34007.5</v>
      </c>
      <c r="F3" s="1390"/>
      <c r="G3" s="1397"/>
      <c r="H3" s="1245" t="s">
        <v>1913</v>
      </c>
      <c r="I3" s="54">
        <f>ROUND('数据-基础表'!B3/'数据-基础表'!A3,2)</f>
        <v>2.2599999999999998</v>
      </c>
      <c r="J3" s="1390"/>
      <c r="K3" s="1390"/>
      <c r="L3" s="1390"/>
      <c r="M3" s="1390"/>
      <c r="N3" s="1425"/>
      <c r="O3" s="1390"/>
      <c r="P3" s="1390"/>
    </row>
    <row r="4" spans="1:16" ht="15">
      <c r="A4" s="3105"/>
      <c r="B4" s="3106"/>
      <c r="C4" s="3107"/>
      <c r="D4" s="2228" t="s">
        <v>1914</v>
      </c>
      <c r="E4" s="2229" t="s">
        <v>1915</v>
      </c>
      <c r="F4" s="1390"/>
      <c r="G4" s="2230" t="s">
        <v>1940</v>
      </c>
      <c r="H4" s="1245" t="s">
        <v>1920</v>
      </c>
      <c r="I4" s="54">
        <f>ROUND(SUMIF('数据-基础表'!I9:AS9,"地上",'数据-基础表'!I5:AS5)/'数据-基础表'!A3,2)</f>
        <v>1.6</v>
      </c>
      <c r="J4" s="1390"/>
      <c r="K4" s="1390"/>
      <c r="L4" s="1390"/>
      <c r="M4" s="1390"/>
      <c r="N4" s="1425"/>
      <c r="O4" s="1390"/>
      <c r="P4" s="1390"/>
    </row>
    <row r="5" spans="1:16">
      <c r="A5" s="46" t="s">
        <v>1916</v>
      </c>
      <c r="B5" s="3108" t="s">
        <v>1917</v>
      </c>
      <c r="C5" s="3108"/>
      <c r="D5" s="47">
        <f>ROUND($D$3*E5/$E$3,2)</f>
        <v>0</v>
      </c>
      <c r="E5" s="48">
        <f>SUMIF('数据-基础表'!$11:$11,"住宅",'数据-基础表'!$5:$5)</f>
        <v>0</v>
      </c>
      <c r="F5" s="1390"/>
      <c r="G5" s="1397"/>
      <c r="H5" s="1245" t="s">
        <v>1913</v>
      </c>
      <c r="I5" s="54">
        <f>ROUND(E31/D31,2)</f>
        <v>2.2599999999999998</v>
      </c>
      <c r="J5" s="1390"/>
      <c r="K5" s="1390"/>
      <c r="L5" s="1390"/>
      <c r="M5" s="1390"/>
      <c r="N5" s="1390"/>
      <c r="O5" s="1390"/>
      <c r="P5" s="1390"/>
    </row>
    <row r="6" spans="1:16" ht="15" thickBot="1">
      <c r="A6" s="2231"/>
      <c r="B6" s="3108" t="s">
        <v>1918</v>
      </c>
      <c r="C6" s="3108"/>
      <c r="D6" s="47">
        <f>ROUND($D$3*E6/$E$3,2)</f>
        <v>15019.6</v>
      </c>
      <c r="E6" s="48">
        <f>E3-E5</f>
        <v>34007.5</v>
      </c>
      <c r="F6" s="1390"/>
      <c r="G6" s="2232" t="s">
        <v>1919</v>
      </c>
      <c r="H6" s="1397" t="s">
        <v>1920</v>
      </c>
      <c r="I6" s="937">
        <f>ROUND(F31/D31,2)</f>
        <v>1.6</v>
      </c>
      <c r="J6" s="1390"/>
      <c r="K6" s="1390"/>
      <c r="L6" s="1390"/>
      <c r="M6" s="1390"/>
      <c r="N6" s="1390"/>
      <c r="O6" s="1390"/>
      <c r="P6" s="1390"/>
    </row>
    <row r="7" spans="1:16" ht="15">
      <c r="A7" s="3100"/>
      <c r="B7" s="3101"/>
      <c r="C7" s="3102"/>
      <c r="D7" s="2228" t="s">
        <v>1914</v>
      </c>
      <c r="E7" s="2233" t="s">
        <v>1921</v>
      </c>
      <c r="F7" s="1390"/>
      <c r="G7" s="2225" t="s">
        <v>1922</v>
      </c>
      <c r="H7" s="63"/>
      <c r="I7" s="419"/>
      <c r="J7" s="1390"/>
      <c r="K7" s="1390"/>
      <c r="L7" s="1390"/>
      <c r="M7" s="1390"/>
      <c r="N7" s="1390"/>
      <c r="O7" s="1390"/>
      <c r="P7" s="1390"/>
    </row>
    <row r="8" spans="1:16">
      <c r="A8" s="46" t="s">
        <v>1923</v>
      </c>
      <c r="B8" s="49" t="s">
        <v>1924</v>
      </c>
      <c r="C8" s="47" t="s">
        <v>1925</v>
      </c>
      <c r="D8" s="47">
        <f t="shared" ref="D8:D15" si="0">ROUND($D$3*E8/$E$3,2)</f>
        <v>10622.88</v>
      </c>
      <c r="E8" s="50">
        <f>SUMIF('数据-基础表'!BB10:BK10,"地上",'数据-基础表'!BB5:BK5)</f>
        <v>24052.409999999996</v>
      </c>
      <c r="F8" s="1390"/>
      <c r="G8" s="2234"/>
      <c r="H8" s="2234"/>
      <c r="I8" s="1390"/>
      <c r="J8" s="1390"/>
      <c r="K8" s="1390"/>
      <c r="L8" s="1390"/>
      <c r="M8" s="1390"/>
      <c r="N8" s="1390"/>
      <c r="O8" s="1390"/>
      <c r="P8" s="1390"/>
    </row>
    <row r="9" spans="1:16">
      <c r="A9" s="2235"/>
      <c r="B9" s="2236"/>
      <c r="C9" s="47" t="s">
        <v>1926</v>
      </c>
      <c r="D9" s="47">
        <f t="shared" si="0"/>
        <v>0</v>
      </c>
      <c r="E9" s="51">
        <v>0</v>
      </c>
      <c r="F9" s="1390"/>
      <c r="G9" s="2234"/>
      <c r="H9" s="2234"/>
      <c r="I9" s="1390"/>
      <c r="J9" s="1390"/>
      <c r="K9" s="1390"/>
      <c r="L9" s="1390"/>
      <c r="M9" s="1390"/>
      <c r="N9" s="1390"/>
      <c r="O9" s="1390"/>
      <c r="P9" s="1390"/>
    </row>
    <row r="10" spans="1:16">
      <c r="A10" s="2235"/>
      <c r="B10" s="2236"/>
      <c r="C10" s="47" t="s">
        <v>1935</v>
      </c>
      <c r="D10" s="47">
        <f t="shared" si="0"/>
        <v>0</v>
      </c>
      <c r="E10" s="50">
        <f>SUMPRODUCT(('数据-基础表'!BB10:BK10="地下")*('数据-基础表'!BB11:BK11="商业")*('数据-基础表'!BB5:BK5))</f>
        <v>0</v>
      </c>
      <c r="F10" s="1390"/>
      <c r="G10" s="2234"/>
      <c r="H10" s="2234"/>
      <c r="I10" s="1390"/>
      <c r="J10" s="1390"/>
      <c r="K10" s="1390"/>
      <c r="L10" s="1390"/>
      <c r="M10" s="1390"/>
      <c r="N10" s="1390"/>
      <c r="O10" s="1390"/>
      <c r="P10" s="1390"/>
    </row>
    <row r="11" spans="1:16">
      <c r="A11" s="2235"/>
      <c r="B11" s="2236"/>
      <c r="C11" s="47" t="s">
        <v>1927</v>
      </c>
      <c r="D11" s="47">
        <f t="shared" si="0"/>
        <v>0</v>
      </c>
      <c r="E11" s="50">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c r="A12" s="2235"/>
      <c r="B12" s="2236"/>
      <c r="C12" s="47" t="s">
        <v>1928</v>
      </c>
      <c r="D12" s="47">
        <f t="shared" si="0"/>
        <v>2729.58</v>
      </c>
      <c r="E12" s="50">
        <f>SUMPRODUCT(('数据-基础表'!BB10:BK10="地下")*('数据-基础表'!BB11:BK11="仓储")*('数据-基础表'!BB5:BK5))</f>
        <v>6180.34</v>
      </c>
      <c r="F12" s="1390"/>
      <c r="G12" s="2234"/>
      <c r="H12" s="2234"/>
      <c r="I12" s="1390"/>
      <c r="J12" s="1390"/>
      <c r="K12" s="1390"/>
      <c r="L12" s="1390"/>
      <c r="M12" s="1390"/>
      <c r="N12" s="1390"/>
      <c r="O12" s="1390"/>
      <c r="P12" s="1390"/>
    </row>
    <row r="13" spans="1:16">
      <c r="A13" s="2235"/>
      <c r="B13" s="2236"/>
      <c r="C13" s="47" t="s">
        <v>1929</v>
      </c>
      <c r="D13" s="47">
        <f t="shared" si="0"/>
        <v>1667.14</v>
      </c>
      <c r="E13" s="50">
        <f>SUMPRODUCT(('数据-基础表'!BB10:BK10="地下")*('数据-基础表'!BB11:BK11="车库")*('数据-基础表'!BB5:BK5))</f>
        <v>3774.75</v>
      </c>
      <c r="F13" s="1390"/>
      <c r="G13" s="2234"/>
      <c r="H13" s="2234"/>
      <c r="I13" s="1390"/>
      <c r="J13" s="1390"/>
      <c r="K13" s="1390"/>
      <c r="L13" s="1390"/>
      <c r="M13" s="1390"/>
      <c r="N13" s="1390"/>
      <c r="O13" s="1390"/>
      <c r="P13" s="1390"/>
    </row>
    <row r="14" spans="1:16">
      <c r="A14" s="2235"/>
      <c r="B14" s="2236"/>
      <c r="C14" s="47" t="s">
        <v>1941</v>
      </c>
      <c r="D14" s="47">
        <f t="shared" si="0"/>
        <v>0</v>
      </c>
      <c r="E14" s="50">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7" t="s">
        <v>1936</v>
      </c>
      <c r="D15" s="47">
        <f t="shared" si="0"/>
        <v>0</v>
      </c>
      <c r="E15" s="50">
        <f>SUMPRODUCT(('数据-基础表'!BB10:BK10="地下")*('数据-基础表'!BB11:BK11="车库—办公")*('数据-基础表'!BB5:BK5))</f>
        <v>0</v>
      </c>
      <c r="F15" s="1390"/>
      <c r="G15" s="2234"/>
      <c r="H15" s="2234"/>
      <c r="I15" s="1390"/>
      <c r="J15" s="1390"/>
      <c r="K15" s="1390"/>
      <c r="L15" s="1390"/>
      <c r="M15" s="1390"/>
      <c r="N15" s="1390"/>
      <c r="O15" s="1390"/>
      <c r="P15" s="1390"/>
    </row>
    <row r="16" spans="1:16" ht="15.75" thickBot="1">
      <c r="A16" s="2231"/>
      <c r="B16" s="2236"/>
      <c r="C16" s="49" t="s">
        <v>1930</v>
      </c>
      <c r="D16" s="49">
        <f>SUM(D8:D15)</f>
        <v>15019.599999999999</v>
      </c>
      <c r="E16" s="52">
        <f>SUM(E8:E15)</f>
        <v>34007.5</v>
      </c>
      <c r="F16" s="1390"/>
      <c r="G16" s="2234"/>
      <c r="H16" s="2237" t="s">
        <v>1942</v>
      </c>
      <c r="I16" s="2238"/>
      <c r="J16" s="1390"/>
      <c r="K16" s="3097" t="s">
        <v>1942</v>
      </c>
      <c r="L16" s="3098"/>
      <c r="M16" s="3098"/>
      <c r="N16" s="3098"/>
      <c r="O16" s="3098"/>
      <c r="P16" s="3099"/>
    </row>
    <row r="17" spans="1:19" ht="15">
      <c r="A17" s="2239" t="s">
        <v>1943</v>
      </c>
      <c r="B17" s="2240" t="s">
        <v>1944</v>
      </c>
      <c r="C17" s="2241" t="s">
        <v>1945</v>
      </c>
      <c r="D17" s="2242" t="s">
        <v>1933</v>
      </c>
      <c r="E17" s="2243" t="s">
        <v>1934</v>
      </c>
      <c r="F17" s="2244"/>
      <c r="G17" s="2245"/>
      <c r="H17" s="2246" t="s">
        <v>1946</v>
      </c>
      <c r="I17" s="2247" t="s">
        <v>1931</v>
      </c>
      <c r="J17" s="1390"/>
      <c r="K17" s="3094" t="s">
        <v>1947</v>
      </c>
      <c r="L17" s="3095"/>
      <c r="M17" s="3096"/>
      <c r="N17" s="3094" t="s">
        <v>1948</v>
      </c>
      <c r="O17" s="3095"/>
      <c r="P17" s="3096"/>
      <c r="R17" s="2225" t="s">
        <v>1949</v>
      </c>
      <c r="S17" s="63"/>
    </row>
    <row r="18" spans="1:19" ht="15">
      <c r="A18" s="2235"/>
      <c r="B18" s="2248"/>
      <c r="C18" s="2249"/>
      <c r="D18" s="2250"/>
      <c r="E18" s="2251" t="s">
        <v>1950</v>
      </c>
      <c r="F18" s="2252" t="s">
        <v>1951</v>
      </c>
      <c r="G18" s="2253" t="s">
        <v>1952</v>
      </c>
      <c r="H18" s="1260" t="s">
        <v>1953</v>
      </c>
      <c r="I18" s="2254" t="s">
        <v>1954</v>
      </c>
      <c r="J18" s="1390"/>
      <c r="K18" s="1260" t="s">
        <v>1955</v>
      </c>
      <c r="L18" s="2255" t="s">
        <v>1956</v>
      </c>
      <c r="M18" s="1044" t="s">
        <v>1957</v>
      </c>
      <c r="N18" s="1260" t="s">
        <v>1955</v>
      </c>
      <c r="O18" s="2255" t="s">
        <v>1956</v>
      </c>
      <c r="P18" s="1044" t="s">
        <v>1957</v>
      </c>
      <c r="R18" s="1245" t="s">
        <v>1958</v>
      </c>
      <c r="S18" s="1245" t="s">
        <v>1959</v>
      </c>
    </row>
    <row r="19" spans="1:19">
      <c r="A19" s="2256"/>
      <c r="B19" s="49" t="s">
        <v>1932</v>
      </c>
      <c r="C19" s="2993" t="s">
        <v>3147</v>
      </c>
      <c r="D19" s="47">
        <f>ROUND($D$3*E19/$E$3,2)</f>
        <v>10622.88</v>
      </c>
      <c r="E19" s="55">
        <f t="shared" ref="E19:E26" si="1">SUM(F19:G19)</f>
        <v>24052.409999999996</v>
      </c>
      <c r="F19" s="56">
        <f>'数据-基础表'!I5</f>
        <v>24052.409999999996</v>
      </c>
      <c r="G19" s="57"/>
      <c r="H19" s="722">
        <f>ROUND($D$3*I19/$E$3,2)</f>
        <v>0</v>
      </c>
      <c r="I19" s="50">
        <f t="shared" ref="I19:I26" si="2">IF($I$17="自定义",P19,M19)</f>
        <v>0</v>
      </c>
      <c r="J19" s="1390"/>
      <c r="K19" s="1389">
        <f t="shared" ref="K19:K26" si="3">ROUND(E$28*E19/E$27,2)</f>
        <v>0</v>
      </c>
      <c r="L19" s="1245">
        <f t="shared" ref="L19:L26" si="4">ROUND(IF(COUNTIF(C19,"*住宅*")&gt;0,E$29*E19/E$32,0),2)</f>
        <v>0</v>
      </c>
      <c r="M19" s="1401">
        <f>K19+L19</f>
        <v>0</v>
      </c>
      <c r="N19" s="2257"/>
      <c r="O19" s="2258"/>
      <c r="P19" s="1401">
        <f>N19+O19</f>
        <v>0</v>
      </c>
      <c r="R19" s="1245">
        <f t="shared" ref="R19:S26" si="5">D19+H19</f>
        <v>10622.88</v>
      </c>
      <c r="S19" s="1246">
        <f t="shared" si="5"/>
        <v>24052.409999999996</v>
      </c>
    </row>
    <row r="20" spans="1:19">
      <c r="A20" s="2259"/>
      <c r="B20" s="49" t="s">
        <v>1960</v>
      </c>
      <c r="C20" s="2993" t="s">
        <v>3148</v>
      </c>
      <c r="D20" s="47">
        <f t="shared" ref="D20:D26" si="6">ROUND($D$3*E20/$E$3,2)</f>
        <v>2729.58</v>
      </c>
      <c r="E20" s="55">
        <f t="shared" si="1"/>
        <v>6180.34</v>
      </c>
      <c r="F20" s="56"/>
      <c r="G20" s="57">
        <f>'数据-基础表'!K5</f>
        <v>6180.34</v>
      </c>
      <c r="H20" s="722">
        <f t="shared" ref="H20:H26" si="7">ROUND($D$3*I20/$E$3,2)</f>
        <v>0</v>
      </c>
      <c r="I20" s="50">
        <f t="shared" si="2"/>
        <v>0</v>
      </c>
      <c r="J20" s="1390"/>
      <c r="K20" s="1389">
        <f t="shared" si="3"/>
        <v>0</v>
      </c>
      <c r="L20" s="1245">
        <f t="shared" si="4"/>
        <v>0</v>
      </c>
      <c r="M20" s="1401">
        <f t="shared" ref="M20:M26" si="8">K20+L20</f>
        <v>0</v>
      </c>
      <c r="N20" s="2257"/>
      <c r="O20" s="2258"/>
      <c r="P20" s="1401">
        <f t="shared" ref="P20:P26" si="9">N20+O20</f>
        <v>0</v>
      </c>
      <c r="R20" s="1245">
        <f t="shared" si="5"/>
        <v>2729.58</v>
      </c>
      <c r="S20" s="1246">
        <f t="shared" si="5"/>
        <v>6180.34</v>
      </c>
    </row>
    <row r="21" spans="1:19">
      <c r="A21" s="2259"/>
      <c r="B21" s="49" t="s">
        <v>1960</v>
      </c>
      <c r="C21" s="2993" t="s">
        <v>3149</v>
      </c>
      <c r="D21" s="47">
        <f t="shared" si="6"/>
        <v>1667.14</v>
      </c>
      <c r="E21" s="55">
        <f t="shared" si="1"/>
        <v>3774.75</v>
      </c>
      <c r="F21" s="56"/>
      <c r="G21" s="57">
        <f>'数据-基础表'!M5</f>
        <v>3774.75</v>
      </c>
      <c r="H21" s="722">
        <f t="shared" si="7"/>
        <v>0</v>
      </c>
      <c r="I21" s="50">
        <f t="shared" si="2"/>
        <v>0</v>
      </c>
      <c r="J21" s="1390"/>
      <c r="K21" s="1389">
        <f t="shared" si="3"/>
        <v>0</v>
      </c>
      <c r="L21" s="1245">
        <f t="shared" si="4"/>
        <v>0</v>
      </c>
      <c r="M21" s="1401">
        <f t="shared" si="8"/>
        <v>0</v>
      </c>
      <c r="N21" s="2257"/>
      <c r="O21" s="2258"/>
      <c r="P21" s="1401">
        <f t="shared" si="9"/>
        <v>0</v>
      </c>
      <c r="R21" s="1245">
        <f t="shared" si="5"/>
        <v>1667.14</v>
      </c>
      <c r="S21" s="1246">
        <f t="shared" si="5"/>
        <v>3774.75</v>
      </c>
    </row>
    <row r="22" spans="1:19">
      <c r="A22" s="2259"/>
      <c r="B22" s="49" t="s">
        <v>1960</v>
      </c>
      <c r="C22" s="59"/>
      <c r="D22" s="47">
        <f t="shared" si="6"/>
        <v>0</v>
      </c>
      <c r="E22" s="55">
        <f t="shared" si="1"/>
        <v>0</v>
      </c>
      <c r="F22" s="60"/>
      <c r="G22" s="61"/>
      <c r="H22" s="722">
        <f t="shared" si="7"/>
        <v>0</v>
      </c>
      <c r="I22" s="50">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49" t="s">
        <v>1960</v>
      </c>
      <c r="C23" s="59"/>
      <c r="D23" s="47">
        <f>ROUND($D$3*E23/$E$3,2)</f>
        <v>0</v>
      </c>
      <c r="E23" s="55">
        <f>SUM(F23:G23)</f>
        <v>0</v>
      </c>
      <c r="F23" s="60"/>
      <c r="G23" s="61"/>
      <c r="H23" s="722">
        <f>ROUND($D$3*I23/$E$3,2)</f>
        <v>0</v>
      </c>
      <c r="I23" s="50">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49" t="s">
        <v>1960</v>
      </c>
      <c r="C24" s="59"/>
      <c r="D24" s="47">
        <f>ROUND($D$3*E24/$E$3,2)</f>
        <v>0</v>
      </c>
      <c r="E24" s="55">
        <f>SUM(F24:G24)</f>
        <v>0</v>
      </c>
      <c r="F24" s="60"/>
      <c r="G24" s="61"/>
      <c r="H24" s="722">
        <f>ROUND($D$3*I24/$E$3,2)</f>
        <v>0</v>
      </c>
      <c r="I24" s="50">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49" t="s">
        <v>1960</v>
      </c>
      <c r="C25" s="59"/>
      <c r="D25" s="47">
        <f t="shared" si="6"/>
        <v>0</v>
      </c>
      <c r="E25" s="55">
        <f t="shared" si="1"/>
        <v>0</v>
      </c>
      <c r="F25" s="60"/>
      <c r="G25" s="61"/>
      <c r="H25" s="46">
        <f t="shared" si="7"/>
        <v>0</v>
      </c>
      <c r="I25" s="50">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49" t="s">
        <v>1960</v>
      </c>
      <c r="C26" s="62"/>
      <c r="D26" s="47">
        <f t="shared" si="6"/>
        <v>0</v>
      </c>
      <c r="E26" s="55">
        <f t="shared" si="1"/>
        <v>0</v>
      </c>
      <c r="F26" s="60"/>
      <c r="G26" s="61"/>
      <c r="H26" s="46">
        <f t="shared" si="7"/>
        <v>0</v>
      </c>
      <c r="I26" s="50">
        <f t="shared" si="2"/>
        <v>0</v>
      </c>
      <c r="J26" s="1390"/>
      <c r="K26" s="1396">
        <f t="shared" si="3"/>
        <v>0</v>
      </c>
      <c r="L26" s="1397">
        <f t="shared" si="4"/>
        <v>0</v>
      </c>
      <c r="M26" s="66">
        <f t="shared" si="8"/>
        <v>0</v>
      </c>
      <c r="N26" s="2260"/>
      <c r="O26" s="2261"/>
      <c r="P26" s="66">
        <f t="shared" si="9"/>
        <v>0</v>
      </c>
      <c r="R26" s="1245">
        <f t="shared" si="5"/>
        <v>0</v>
      </c>
      <c r="S26" s="1246">
        <f t="shared" si="5"/>
        <v>0</v>
      </c>
    </row>
    <row r="27" spans="1:19" ht="15.75" thickBot="1">
      <c r="A27" s="2259"/>
      <c r="B27" s="47"/>
      <c r="C27" s="2262" t="s">
        <v>1961</v>
      </c>
      <c r="D27" s="1391">
        <f>SUM(D19:D26)</f>
        <v>15019.599999999999</v>
      </c>
      <c r="E27" s="1392">
        <f>IF(SUM(E19:E26)='数据-基础表'!BA5,SUM(E19:E26),IF(F27="地上面积有误","面积有误","地下面积有误"))</f>
        <v>34007.5</v>
      </c>
      <c r="F27" s="1391">
        <f>IF(SUM(F19:F26)=E8,SUM(F19:F26),"地上面积有误")</f>
        <v>24052.409999999996</v>
      </c>
      <c r="G27" s="1393">
        <f>SUM(G19:G26)</f>
        <v>9955.09</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15019.599999999999</v>
      </c>
      <c r="S27" s="1245">
        <f>IF(SUM(S19:S26)=$E$3,SUM(S19:S26),SUM(S19:S26)&amp;"误差"&amp;ROUND(SUM(S19:S26)-E3,2))</f>
        <v>34007.5</v>
      </c>
    </row>
    <row r="28" spans="1:19">
      <c r="A28" s="2259"/>
      <c r="B28" s="49" t="s">
        <v>1962</v>
      </c>
      <c r="C28" s="1257" t="s">
        <v>1963</v>
      </c>
      <c r="D28" s="47">
        <f>ROUND($D$3*E28/$E$3,2)</f>
        <v>0</v>
      </c>
      <c r="E28" s="55">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9"/>
      <c r="B29" s="49" t="s">
        <v>1962</v>
      </c>
      <c r="C29" s="2263" t="s">
        <v>1964</v>
      </c>
      <c r="D29" s="47">
        <f>ROUND($D$3*E29/$E$3,2)</f>
        <v>0</v>
      </c>
      <c r="E29" s="55">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9"/>
      <c r="B30" s="49"/>
      <c r="C30" s="2264"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5"/>
      <c r="B31" s="2266"/>
      <c r="C31" s="1005" t="s">
        <v>1965</v>
      </c>
      <c r="D31" s="728">
        <f>D27+D30</f>
        <v>15019.599999999999</v>
      </c>
      <c r="E31" s="728">
        <f>E27+E30</f>
        <v>34007.5</v>
      </c>
      <c r="F31" s="729">
        <f>F27+F30</f>
        <v>24052.409999999996</v>
      </c>
      <c r="G31" s="730">
        <f>G27+G30</f>
        <v>9955.09</v>
      </c>
      <c r="H31" s="1390"/>
      <c r="I31" s="1390"/>
      <c r="J31" s="1390"/>
      <c r="K31" s="1390"/>
      <c r="L31" s="1390"/>
      <c r="M31" s="1390"/>
      <c r="N31" s="1390"/>
      <c r="O31" s="1390"/>
      <c r="P31" s="1390"/>
    </row>
    <row r="32" spans="1:19">
      <c r="A32" s="2230"/>
      <c r="B32" s="2230" t="s">
        <v>1966</v>
      </c>
      <c r="C32" s="2230"/>
      <c r="D32" s="2230"/>
      <c r="E32" s="1272">
        <f>SUMIF(C19:C26,"*住宅*",E19:E26)</f>
        <v>0</v>
      </c>
      <c r="F32" s="2230"/>
      <c r="G32" s="2230"/>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12" sqref="J1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1968</v>
      </c>
      <c r="B2" s="1264">
        <f>项目基本情况!D3</f>
        <v>43236</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1975</v>
      </c>
      <c r="B5" s="2286" t="s">
        <v>1976</v>
      </c>
      <c r="C5" s="2287" t="s">
        <v>1977</v>
      </c>
      <c r="D5" s="2288" t="s">
        <v>1978</v>
      </c>
      <c r="E5" s="1266" t="s">
        <v>1979</v>
      </c>
      <c r="F5" s="2289" t="s">
        <v>1980</v>
      </c>
      <c r="G5" s="1266" t="s">
        <v>1981</v>
      </c>
      <c r="H5" s="1266" t="s">
        <v>1982</v>
      </c>
      <c r="I5" s="1266" t="s">
        <v>1983</v>
      </c>
      <c r="J5" s="2290" t="s">
        <v>1984</v>
      </c>
      <c r="K5" s="2291" t="s">
        <v>1985</v>
      </c>
      <c r="L5" s="2292" t="s">
        <v>1986</v>
      </c>
      <c r="M5" s="2293" t="s">
        <v>1987</v>
      </c>
      <c r="N5" s="2294" t="s">
        <v>3150</v>
      </c>
      <c r="O5" s="2292" t="s">
        <v>1988</v>
      </c>
      <c r="P5" s="2295" t="s">
        <v>1989</v>
      </c>
      <c r="Q5" s="68" t="s">
        <v>1990</v>
      </c>
      <c r="R5" s="2296" t="s">
        <v>1991</v>
      </c>
      <c r="S5" s="2297" t="s">
        <v>1992</v>
      </c>
      <c r="T5" s="2298" t="s">
        <v>1993</v>
      </c>
      <c r="U5" s="1265" t="s">
        <v>1994</v>
      </c>
      <c r="V5" s="1266" t="s">
        <v>1995</v>
      </c>
      <c r="W5" s="1266" t="s">
        <v>1996</v>
      </c>
      <c r="X5" s="70"/>
      <c r="Y5" s="69" t="s">
        <v>1997</v>
      </c>
      <c r="Z5" s="2299" t="s">
        <v>1994</v>
      </c>
      <c r="AA5" s="1266" t="s">
        <v>1995</v>
      </c>
      <c r="AB5" s="1266" t="s">
        <v>1996</v>
      </c>
      <c r="AC5" s="70"/>
      <c r="AD5" s="70" t="s">
        <v>1997</v>
      </c>
      <c r="AE5" s="1265" t="s">
        <v>1998</v>
      </c>
      <c r="AF5" s="1266" t="s">
        <v>1999</v>
      </c>
      <c r="AG5" s="69" t="s">
        <v>2000</v>
      </c>
      <c r="AH5" s="1265" t="s">
        <v>2001</v>
      </c>
      <c r="AI5" s="2299" t="s">
        <v>2002</v>
      </c>
      <c r="AJ5" s="2299" t="s">
        <v>2003</v>
      </c>
      <c r="AK5" s="1266" t="s">
        <v>2004</v>
      </c>
      <c r="AL5" s="1266" t="s">
        <v>2005</v>
      </c>
      <c r="AM5" s="69" t="s">
        <v>2006</v>
      </c>
      <c r="AN5" s="2300" t="s">
        <v>2007</v>
      </c>
      <c r="AO5" s="2071" t="s">
        <v>2008</v>
      </c>
      <c r="AP5" s="1247"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2" t="str">
        <f>'数据-汇总表'!C19</f>
        <v>办公</v>
      </c>
      <c r="B6" s="2303" t="str">
        <f>IF(A6=0,"","经营性")</f>
        <v>经营性</v>
      </c>
      <c r="C6" s="2304" t="s">
        <v>27</v>
      </c>
      <c r="D6" s="1049">
        <f>SUMIF(项目基本情况!D$12:I$12,C6,项目基本情况!D$14:I$14)</f>
        <v>50</v>
      </c>
      <c r="E6" s="1046">
        <f>IF(B6="","",SUMIF(项目基本情况!D$12:I$12,C6,项目基本情况!D$13:I$13))</f>
        <v>58987</v>
      </c>
      <c r="F6" s="71">
        <f>SUMIF(项目基本情况!D$12:I$12,C6,项目基本情况!D$15:I$15)</f>
        <v>43.15</v>
      </c>
      <c r="G6" s="72">
        <f>IF(ISERROR(ROUND(POWER(1+H6,D6-F6)*(POWER(1+H6,F6)-1)/(POWER(1+H6,D6)-1),3)),0,ROUND(POWER(1+H6,D6-F6)*(POWER(1+H6,F6)-1)/(POWER(1+H6,D6)-1),3))</f>
        <v>0.95599999999999996</v>
      </c>
      <c r="H6" s="801">
        <v>4.4999999999999998E-2</v>
      </c>
      <c r="I6" s="801">
        <v>0.05</v>
      </c>
      <c r="J6" s="73">
        <v>8.5000000000000006E-2</v>
      </c>
      <c r="K6" s="1249">
        <f>SUMIF('数据-汇总表'!C$19:C$33,A6,'数据-汇总表'!E$19:E$33)</f>
        <v>24052.409999999996</v>
      </c>
      <c r="L6" s="3005">
        <v>3200</v>
      </c>
      <c r="M6" s="74">
        <f t="shared" ref="M6:M14" si="0">ROUND(K6*L6/10000,0)</f>
        <v>7697</v>
      </c>
      <c r="N6" s="800">
        <v>0.95</v>
      </c>
      <c r="O6" s="74" t="str">
        <f>IF($N$5="成新度","——",ROUND(M6*N6,0))</f>
        <v>——</v>
      </c>
      <c r="P6" s="75" t="str">
        <f>IF($N$5="成新度","——",M6-O6)</f>
        <v>——</v>
      </c>
      <c r="Q6" s="803">
        <v>0.25</v>
      </c>
      <c r="R6" s="76">
        <f ca="1">SUMIF('数据-汇总表'!C$19:C$33,A6,'数据-汇总表'!R$19:R$27)</f>
        <v>10622.88</v>
      </c>
      <c r="S6" s="53">
        <f>IF('数据-汇总表'!$I$17="按面积比例",SUMIF('数据-汇总表'!C$19:C$33,A6,'数据-汇总表'!K$19:K$33),SUMIF('数据-汇总表'!C$19:C$33,A6,'数据-汇总表'!N$19:N$33))</f>
        <v>0</v>
      </c>
      <c r="T6" s="1441">
        <f>ROUND($L$14*S6/10000,0)</f>
        <v>0</v>
      </c>
      <c r="U6" s="77">
        <v>5.5</v>
      </c>
      <c r="V6" s="3007">
        <v>0.03</v>
      </c>
      <c r="W6" s="78">
        <v>0.1</v>
      </c>
      <c r="X6" s="1259"/>
      <c r="Y6" s="3009">
        <v>0.95</v>
      </c>
      <c r="Z6" s="80"/>
      <c r="AA6" s="73"/>
      <c r="AB6" s="73"/>
      <c r="AC6" s="1259"/>
      <c r="AD6" s="81"/>
      <c r="AE6" s="1260">
        <f ca="1">IF(AN6="",0,SUMIF(INDIRECT("'"&amp;AN6&amp;"'"&amp;"!E:E"),$AE$5,INDIRECT("'"&amp;AN6&amp;"'"&amp;"!F:F")))</f>
        <v>43.15</v>
      </c>
      <c r="AF6" s="1802"/>
      <c r="AG6" s="146">
        <f>IF(AF6="",0,AE6-AF6)</f>
        <v>0</v>
      </c>
      <c r="AH6" s="82"/>
      <c r="AI6" s="84">
        <v>365</v>
      </c>
      <c r="AJ6" s="85"/>
      <c r="AK6" s="86">
        <v>1.4999999999999999E-2</v>
      </c>
      <c r="AL6" s="87">
        <v>1.5E-3</v>
      </c>
      <c r="AM6" s="88">
        <v>0.02</v>
      </c>
      <c r="AN6" s="2305" t="s">
        <v>3162</v>
      </c>
      <c r="AO6" s="54">
        <f ca="1">SUMIF(INDIRECT("'"&amp;AN6&amp;"'"&amp;"!A:A"),"总价",INDIRECT("'"&amp;AN6&amp;"'"&amp;"!B:B"))</f>
        <v>104665</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仓储</v>
      </c>
      <c r="B7" s="2303" t="str">
        <f t="shared" ref="B7:B13" si="1">IF(A7=0,"","经营性")</f>
        <v>经营性</v>
      </c>
      <c r="C7" s="2304" t="s">
        <v>3068</v>
      </c>
      <c r="D7" s="1049">
        <f>SUMIF(项目基本情况!D$12:I$12,C7,项目基本情况!D$14:I$14)</f>
        <v>50</v>
      </c>
      <c r="E7" s="1046">
        <f>IF(B7="","",SUMIF(项目基本情况!D$12:I$12,C7,项目基本情况!D$13:I$13))</f>
        <v>58987</v>
      </c>
      <c r="F7" s="71">
        <f>SUMIF(项目基本情况!D$12:I$12,C7,项目基本情况!D$15:I$15)</f>
        <v>43.15</v>
      </c>
      <c r="G7" s="72">
        <f t="shared" ref="G7:G11" si="2">IF(ISERROR(ROUND(POWER(1+H7,D7-F7)*(POWER(1+H7,F7)-1)/(POWER(1+H7,D7)-1),3)),0,ROUND(POWER(1+H7,D7-F7)*(POWER(1+H7,F7)-1)/(POWER(1+H7,D7)-1),3))</f>
        <v>0.95</v>
      </c>
      <c r="H7" s="3017">
        <v>0.04</v>
      </c>
      <c r="I7" s="3017">
        <v>4.4999999999999998E-2</v>
      </c>
      <c r="J7" s="73">
        <v>8.5000000000000006E-2</v>
      </c>
      <c r="K7" s="1249">
        <f>SUMIF('数据-汇总表'!C$19:C$33,A7,'数据-汇总表'!E$19:E$33)</f>
        <v>6180.34</v>
      </c>
      <c r="L7" s="3005">
        <v>3000</v>
      </c>
      <c r="M7" s="74">
        <f t="shared" si="0"/>
        <v>1854</v>
      </c>
      <c r="N7" s="800">
        <v>0.95</v>
      </c>
      <c r="O7" s="74" t="str">
        <f t="shared" ref="O7:O14" si="3">IF($N$5="成新度","——",ROUND(M7*N7,0))</f>
        <v>——</v>
      </c>
      <c r="P7" s="75" t="str">
        <f t="shared" ref="P7:P14" si="4">IF($N$5="成新度","——",M7-O7)</f>
        <v>——</v>
      </c>
      <c r="Q7" s="3006">
        <v>0.25</v>
      </c>
      <c r="R7" s="76">
        <f ca="1">SUMIF('数据-汇总表'!C$19:C$33,A7,'数据-汇总表'!R$19:R$27)</f>
        <v>2729.58</v>
      </c>
      <c r="S7" s="53">
        <f>IF('数据-汇总表'!$I$17="按面积比例",SUMIF('数据-汇总表'!C$19:C$33,A7,'数据-汇总表'!K$19:K$33),SUMIF('数据-汇总表'!C$19:C$33,A7,'数据-汇总表'!N$19:N$33))</f>
        <v>0</v>
      </c>
      <c r="T7" s="1441">
        <f t="shared" ref="T7:T13" si="5">ROUND($L$14*S7/10000,0)</f>
        <v>0</v>
      </c>
      <c r="U7" s="77">
        <v>5.3</v>
      </c>
      <c r="V7" s="3007">
        <v>3.5000000000000003E-2</v>
      </c>
      <c r="W7" s="78">
        <v>0.1</v>
      </c>
      <c r="X7" s="1259"/>
      <c r="Y7" s="3009">
        <v>0.95</v>
      </c>
      <c r="Z7" s="80"/>
      <c r="AA7" s="73"/>
      <c r="AB7" s="73"/>
      <c r="AC7" s="1259"/>
      <c r="AD7" s="81"/>
      <c r="AE7" s="1260">
        <f t="shared" ref="AE7:AE13" ca="1" si="6">IF(AN7="",0,SUMIF(INDIRECT("'"&amp;AN7&amp;"'"&amp;"!E:E"),$AE$5,INDIRECT("'"&amp;AN7&amp;"'"&amp;"!F:F")))</f>
        <v>43.15</v>
      </c>
      <c r="AF7" s="1802"/>
      <c r="AG7" s="146">
        <f t="shared" ref="AG7:AG13" si="7">IF(AF7="",0,AE7-AF7)</f>
        <v>0</v>
      </c>
      <c r="AH7" s="82"/>
      <c r="AI7" s="84">
        <v>365</v>
      </c>
      <c r="AJ7" s="85"/>
      <c r="AK7" s="86">
        <v>1.4999999999999999E-2</v>
      </c>
      <c r="AL7" s="87">
        <v>1.5E-3</v>
      </c>
      <c r="AM7" s="88">
        <v>1.4999999999999999E-2</v>
      </c>
      <c r="AN7" s="2305" t="s">
        <v>3164</v>
      </c>
      <c r="AO7" s="54">
        <f t="shared" ref="AO7:AO13" ca="1" si="8">SUMIF(INDIRECT("'"&amp;AN7&amp;"'"&amp;"!A:A"),"总价",INDIRECT("'"&amp;AN7&amp;"'"&amp;"!B:B"))</f>
        <v>31442</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车库</v>
      </c>
      <c r="B8" s="2303" t="str">
        <f t="shared" si="1"/>
        <v>经营性</v>
      </c>
      <c r="C8" s="2304" t="s">
        <v>3069</v>
      </c>
      <c r="D8" s="1049">
        <f>SUMIF(项目基本情况!D$12:I$12,C8,项目基本情况!D$14:I$14)</f>
        <v>50</v>
      </c>
      <c r="E8" s="1046">
        <f>IF(B8="","",SUMIF(项目基本情况!D$12:I$12,C8,项目基本情况!D$13:I$13))</f>
        <v>58987</v>
      </c>
      <c r="F8" s="71">
        <f>SUMIF(项目基本情况!D$12:I$12,C8,项目基本情况!D$15:I$15)</f>
        <v>43.15</v>
      </c>
      <c r="G8" s="72">
        <f t="shared" si="2"/>
        <v>0.95</v>
      </c>
      <c r="H8" s="801">
        <v>0.04</v>
      </c>
      <c r="I8" s="801">
        <v>4.4999999999999998E-2</v>
      </c>
      <c r="J8" s="73">
        <v>8.5000000000000006E-2</v>
      </c>
      <c r="K8" s="1249">
        <f>SUMIF('数据-汇总表'!C$19:C$33,A8,'数据-汇总表'!E$19:E$33)</f>
        <v>3774.75</v>
      </c>
      <c r="L8" s="3005">
        <v>2500</v>
      </c>
      <c r="M8" s="74">
        <f>ROUND(K8*L8/10000,0)</f>
        <v>944</v>
      </c>
      <c r="N8" s="800">
        <v>0.95</v>
      </c>
      <c r="O8" s="74" t="str">
        <f t="shared" si="3"/>
        <v>——</v>
      </c>
      <c r="P8" s="75" t="str">
        <f t="shared" si="4"/>
        <v>——</v>
      </c>
      <c r="Q8" s="803">
        <v>0.15</v>
      </c>
      <c r="R8" s="76">
        <f ca="1">SUMIF('数据-汇总表'!C$19:C$33,A8,'数据-汇总表'!R$19:R$27)</f>
        <v>1667.14</v>
      </c>
      <c r="S8" s="53">
        <f>IF('数据-汇总表'!$I$17="按面积比例",SUMIF('数据-汇总表'!C$19:C$33,A8,'数据-汇总表'!K$19:K$33),SUMIF('数据-汇总表'!C$19:C$33,A8,'数据-汇总表'!N$19:N$33))</f>
        <v>0</v>
      </c>
      <c r="T8" s="1441">
        <f t="shared" si="5"/>
        <v>0</v>
      </c>
      <c r="U8" s="804">
        <v>1.2</v>
      </c>
      <c r="V8" s="3008">
        <v>0.03</v>
      </c>
      <c r="W8" s="805">
        <v>0.05</v>
      </c>
      <c r="X8" s="1259"/>
      <c r="Y8" s="3009">
        <v>0.95</v>
      </c>
      <c r="Z8" s="80"/>
      <c r="AA8" s="73"/>
      <c r="AB8" s="73"/>
      <c r="AC8" s="1259"/>
      <c r="AD8" s="81"/>
      <c r="AE8" s="1260">
        <f t="shared" ca="1" si="6"/>
        <v>43.15</v>
      </c>
      <c r="AF8" s="1802"/>
      <c r="AG8" s="146">
        <f t="shared" si="7"/>
        <v>0</v>
      </c>
      <c r="AH8" s="806"/>
      <c r="AI8" s="84">
        <v>365</v>
      </c>
      <c r="AJ8" s="85"/>
      <c r="AK8" s="86">
        <v>1.4999999999999999E-2</v>
      </c>
      <c r="AL8" s="87">
        <v>1.5E-3</v>
      </c>
      <c r="AM8" s="88">
        <v>1.4999999999999999E-2</v>
      </c>
      <c r="AN8" s="2305" t="s">
        <v>3166</v>
      </c>
      <c r="AO8" s="54">
        <f t="shared" ca="1" si="8"/>
        <v>3387</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2012</v>
      </c>
      <c r="B14" s="2303" t="s">
        <v>2013</v>
      </c>
      <c r="C14" s="2308" t="s">
        <v>2012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3"/>
      <c r="T14" s="1441"/>
      <c r="U14" s="722"/>
      <c r="V14" s="1254"/>
      <c r="W14" s="1254"/>
      <c r="X14" s="1255"/>
      <c r="Y14" s="1256"/>
      <c r="Z14" s="1257"/>
      <c r="AA14" s="1258"/>
      <c r="AB14" s="1258"/>
      <c r="AC14" s="1259"/>
      <c r="AD14" s="1255"/>
      <c r="AE14" s="1260"/>
      <c r="AF14" s="54"/>
      <c r="AG14" s="146"/>
      <c r="AH14" s="1260"/>
      <c r="AI14" s="1813"/>
      <c r="AJ14" s="772"/>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2014</v>
      </c>
      <c r="B15" s="2303" t="s">
        <v>2013</v>
      </c>
      <c r="C15" s="2308" t="s">
        <v>2015</v>
      </c>
      <c r="D15" s="1049"/>
      <c r="E15" s="1046"/>
      <c r="F15" s="71"/>
      <c r="G15" s="72"/>
      <c r="H15" s="1248"/>
      <c r="I15" s="1248"/>
      <c r="J15" s="1248"/>
      <c r="K15" s="1249">
        <f>SUMIF('数据-汇总表'!C$19:C$33,A15,'数据-汇总表'!E$19:E$33)</f>
        <v>0</v>
      </c>
      <c r="L15" s="1250"/>
      <c r="M15" s="74"/>
      <c r="N15" s="1251"/>
      <c r="O15" s="74"/>
      <c r="P15" s="75"/>
      <c r="Q15" s="1252"/>
      <c r="R15" s="76"/>
      <c r="S15" s="53"/>
      <c r="T15" s="1441"/>
      <c r="U15" s="722"/>
      <c r="V15" s="1254"/>
      <c r="W15" s="1254"/>
      <c r="X15" s="1255"/>
      <c r="Y15" s="1256"/>
      <c r="Z15" s="1257"/>
      <c r="AA15" s="1258"/>
      <c r="AB15" s="1258"/>
      <c r="AC15" s="1259"/>
      <c r="AD15" s="1255"/>
      <c r="AE15" s="1260"/>
      <c r="AF15" s="54"/>
      <c r="AG15" s="146"/>
      <c r="AH15" s="1260"/>
      <c r="AI15" s="1813"/>
      <c r="AJ15" s="772"/>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2016</v>
      </c>
      <c r="B16" s="96"/>
      <c r="C16" s="1003"/>
      <c r="D16" s="2310"/>
      <c r="E16" s="96"/>
      <c r="F16" s="96"/>
      <c r="G16" s="97">
        <f>ROUND(SUMPRODUCT(G6:G13,K6:K13)/SUMPRODUCT((G6:G13&gt;0)*(K6:K13)),3)</f>
        <v>0.95399999999999996</v>
      </c>
      <c r="H16" s="98">
        <f>ROUND(SUMPRODUCT(H6:H13,K6:K13)/SUMPRODUCT((H6:H13&gt;0)*(K6:K13)),3)</f>
        <v>4.3999999999999997E-2</v>
      </c>
      <c r="I16" s="99"/>
      <c r="J16" s="99"/>
      <c r="K16" s="100">
        <f>SUM(K6:K15)</f>
        <v>34007.5</v>
      </c>
      <c r="L16" s="101">
        <f>ROUND(M16*10000/SUM(K6:K14),0)</f>
        <v>3086</v>
      </c>
      <c r="M16" s="101">
        <f>SUM(M6:M14)</f>
        <v>10495</v>
      </c>
      <c r="N16" s="102">
        <f>ROUND(SUMPRODUCT(M6:M14,N6:N14)/M16,3)</f>
        <v>0.95</v>
      </c>
      <c r="O16" s="101">
        <f>SUM(O6:O14)</f>
        <v>0</v>
      </c>
      <c r="P16" s="101">
        <f>SUM(P6:P14)</f>
        <v>0</v>
      </c>
      <c r="Q16" s="103">
        <f>ROUND(SUMPRODUCT(Q6:Q13,K6:K13)/SUMPRODUCT((Q6:Q13&gt;0)*(K6:K13)),2)</f>
        <v>0.24</v>
      </c>
      <c r="R16" s="1253">
        <f ca="1">SUM(R6:R13)</f>
        <v>15019.599999999999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6"/>
      <c r="C18" s="2273"/>
      <c r="D18" s="2274"/>
      <c r="E18" s="2273"/>
      <c r="F18" s="2273"/>
      <c r="G18" s="2273"/>
      <c r="H18" s="2273"/>
      <c r="I18" s="2273"/>
      <c r="J18" s="2273"/>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2018</v>
      </c>
      <c r="B19" s="111">
        <v>0</v>
      </c>
      <c r="C19" s="2273" t="s">
        <v>2019</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2020</v>
      </c>
      <c r="B20" s="112">
        <v>2</v>
      </c>
      <c r="C20" s="2273" t="s">
        <v>2021</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2022</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2023</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2024</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2025</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2026</v>
      </c>
      <c r="B26" s="2316" t="s">
        <v>2027</v>
      </c>
      <c r="C26" s="2317" t="s">
        <v>2028</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2029</v>
      </c>
      <c r="B27" s="115">
        <v>160</v>
      </c>
      <c r="C27" s="1762" t="s">
        <v>2030</v>
      </c>
      <c r="D27" s="2319"/>
      <c r="E27" s="1425"/>
      <c r="F27" s="1425"/>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2031</v>
      </c>
      <c r="B28" s="118">
        <v>200</v>
      </c>
      <c r="C28" s="2322"/>
      <c r="D28" s="2319"/>
      <c r="E28" s="1425"/>
      <c r="F28" s="1425"/>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2032</v>
      </c>
      <c r="B29" s="120">
        <v>0</v>
      </c>
      <c r="C29" s="1762" t="s">
        <v>2033</v>
      </c>
      <c r="D29" s="2319"/>
      <c r="E29" s="1425"/>
      <c r="F29" s="1425"/>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2034</v>
      </c>
      <c r="B30" s="723">
        <v>200</v>
      </c>
      <c r="C30" s="2322"/>
      <c r="D30" s="2319"/>
      <c r="E30" s="1425"/>
      <c r="F30" s="1425"/>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2035</v>
      </c>
      <c r="B31" s="119">
        <f>B30-B32</f>
        <v>200</v>
      </c>
      <c r="C31" s="1762"/>
      <c r="D31" s="2319"/>
      <c r="E31" s="1425"/>
      <c r="F31" s="1425"/>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2036</v>
      </c>
      <c r="B32" s="724">
        <v>0</v>
      </c>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2037</v>
      </c>
      <c r="B33" s="725">
        <v>0.03</v>
      </c>
      <c r="C33" s="1761" t="s">
        <v>2038</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2039</v>
      </c>
      <c r="B34" s="121">
        <v>0.03</v>
      </c>
      <c r="C34" s="1761" t="s">
        <v>2040</v>
      </c>
      <c r="D34" s="2274" t="s">
        <v>2041</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2042</v>
      </c>
      <c r="B35" s="118">
        <v>200</v>
      </c>
      <c r="C35" s="1761" t="s">
        <v>2043</v>
      </c>
      <c r="D35" s="2319"/>
      <c r="E35" s="1425"/>
      <c r="F35" s="1425"/>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2044</v>
      </c>
      <c r="B36" s="122">
        <v>1.4999999999999999E-2</v>
      </c>
      <c r="C36" s="1761" t="s">
        <v>2045</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2046</v>
      </c>
      <c r="B37" s="123">
        <v>0.03</v>
      </c>
      <c r="C37" s="1761" t="s">
        <v>2047</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2048</v>
      </c>
      <c r="B38" s="121">
        <v>0.03</v>
      </c>
      <c r="C38" s="1761" t="s">
        <v>2047</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2049</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2050</v>
      </c>
      <c r="B40" s="1298">
        <f ca="1">存贷款利率!G1</f>
        <v>4.7500000000000001E-2</v>
      </c>
      <c r="C40" s="1761" t="s">
        <v>2051</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2052</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2053</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2054</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2055</v>
      </c>
      <c r="B44" s="127">
        <v>7.0000000000000007E-2</v>
      </c>
      <c r="C44" s="1761" t="s">
        <v>2056</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2057</v>
      </c>
      <c r="B45" s="125">
        <v>0.03</v>
      </c>
      <c r="C45" s="1762" t="s">
        <v>2058</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2059</v>
      </c>
      <c r="B46" s="125">
        <v>0.02</v>
      </c>
      <c r="C46" s="1762" t="s">
        <v>2060</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2061</v>
      </c>
      <c r="B47" s="128"/>
      <c r="C47" s="1762" t="s">
        <v>2062</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2063</v>
      </c>
      <c r="B48" s="129">
        <v>0.03</v>
      </c>
      <c r="C48" s="1769" t="s">
        <v>2064</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2065</v>
      </c>
      <c r="B49" s="125">
        <v>5.0000000000000001E-4</v>
      </c>
      <c r="C49" s="1769" t="s">
        <v>2066</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2067</v>
      </c>
      <c r="B50" s="130">
        <v>1.2E-2</v>
      </c>
      <c r="C50" s="1425"/>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2068</v>
      </c>
      <c r="B51" s="131">
        <v>0.12</v>
      </c>
      <c r="C51" s="1425"/>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2069</v>
      </c>
      <c r="B52" s="132">
        <f>SUMIF(A54:A63,B53,B54:B63)</f>
        <v>12</v>
      </c>
      <c r="C52" s="1425"/>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2070</v>
      </c>
      <c r="B53" s="2332" t="s">
        <v>137</v>
      </c>
      <c r="C53" s="1425" t="s">
        <v>2071</v>
      </c>
      <c r="D53" s="2333" t="s">
        <v>2072</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2073</v>
      </c>
      <c r="B54" s="83"/>
      <c r="C54" s="1425">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2074</v>
      </c>
      <c r="B55" s="83"/>
      <c r="C55" s="1425">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2075</v>
      </c>
      <c r="B56" s="83"/>
      <c r="C56" s="1425">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2076</v>
      </c>
      <c r="B57" s="83">
        <v>12</v>
      </c>
      <c r="C57" s="1425">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2077</v>
      </c>
      <c r="B58" s="83"/>
      <c r="C58" s="1425">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2078</v>
      </c>
      <c r="B59" s="83"/>
      <c r="C59" s="1425">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2079</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2080</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2081</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2082</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7"/>
      <c r="D64" s="2338"/>
      <c r="K64" s="797"/>
      <c r="L64" s="797"/>
    </row>
    <row r="65" spans="1:12" s="962" customFormat="1">
      <c r="A65" s="2337"/>
      <c r="D65" s="2338"/>
      <c r="K65" s="797"/>
      <c r="L65" s="797"/>
    </row>
    <row r="66" spans="1:12" s="962" customFormat="1">
      <c r="A66" s="2337"/>
      <c r="D66" s="2338"/>
      <c r="K66" s="797"/>
      <c r="L66" s="797"/>
    </row>
    <row r="67" spans="1:12" s="962" customFormat="1">
      <c r="A67" s="2337"/>
      <c r="D67" s="2338"/>
      <c r="K67" s="797"/>
      <c r="L67" s="797"/>
    </row>
    <row r="68" spans="1:12" s="962" customFormat="1">
      <c r="A68" s="2337"/>
      <c r="D68" s="2338"/>
      <c r="K68" s="797"/>
      <c r="L68" s="797"/>
    </row>
    <row r="69" spans="1:12" s="962" customFormat="1">
      <c r="A69" s="2337"/>
      <c r="D69" s="2338"/>
      <c r="K69" s="797"/>
      <c r="L69" s="797"/>
    </row>
    <row r="70" spans="1:12" s="962" customFormat="1">
      <c r="A70" s="2337"/>
      <c r="D70" s="2338"/>
      <c r="K70" s="797"/>
      <c r="L70" s="797"/>
    </row>
    <row r="71" spans="1:12" s="962" customFormat="1">
      <c r="A71" s="2337"/>
      <c r="D71" s="2338"/>
      <c r="K71" s="797"/>
      <c r="L71" s="797"/>
    </row>
    <row r="72" spans="1:12" s="962" customFormat="1">
      <c r="A72" s="2337"/>
      <c r="D72" s="2338"/>
      <c r="K72" s="797"/>
      <c r="L72" s="797"/>
    </row>
    <row r="73" spans="1:12" s="962" customFormat="1">
      <c r="A73" s="2337"/>
      <c r="D73" s="2338"/>
      <c r="K73" s="797"/>
      <c r="L73" s="797"/>
    </row>
    <row r="74" spans="1:12" s="962" customFormat="1">
      <c r="A74" s="2337"/>
      <c r="D74" s="2338"/>
      <c r="K74" s="797"/>
      <c r="L74" s="797"/>
    </row>
    <row r="75" spans="1:12" s="962" customFormat="1">
      <c r="A75" s="2337"/>
      <c r="D75" s="2338"/>
      <c r="K75" s="797"/>
      <c r="L75" s="797"/>
    </row>
    <row r="76" spans="1:12" s="962" customFormat="1">
      <c r="A76" s="2337"/>
      <c r="D76" s="2338"/>
      <c r="K76" s="797"/>
      <c r="L76" s="797"/>
    </row>
    <row r="77" spans="1:12" s="962" customFormat="1">
      <c r="A77" s="2337"/>
      <c r="D77" s="2338"/>
      <c r="K77" s="797"/>
      <c r="L77" s="797"/>
    </row>
    <row r="78" spans="1:12" s="962" customFormat="1">
      <c r="A78" s="2337"/>
      <c r="D78" s="2338"/>
      <c r="K78" s="797"/>
      <c r="L78" s="797"/>
    </row>
    <row r="79" spans="1:12" s="962" customFormat="1">
      <c r="A79" s="2337"/>
      <c r="D79" s="2338"/>
      <c r="K79" s="797"/>
      <c r="L79" s="797"/>
    </row>
    <row r="80" spans="1:12" s="962" customFormat="1">
      <c r="A80" s="2337"/>
      <c r="D80" s="2338"/>
      <c r="K80" s="797"/>
      <c r="L80" s="797"/>
    </row>
    <row r="81" spans="1:12" s="962" customFormat="1">
      <c r="A81" s="2337"/>
      <c r="D81" s="2338"/>
      <c r="K81" s="797"/>
      <c r="L81" s="797"/>
    </row>
    <row r="82" spans="1:12" s="962" customFormat="1">
      <c r="A82" s="2337"/>
      <c r="D82" s="2338"/>
      <c r="K82" s="797"/>
      <c r="L82" s="797"/>
    </row>
    <row r="83" spans="1:12" s="962" customFormat="1">
      <c r="A83" s="2337"/>
      <c r="D83" s="2338"/>
      <c r="K83" s="797"/>
      <c r="L83" s="797"/>
    </row>
    <row r="84" spans="1:12" s="962" customFormat="1">
      <c r="A84" s="2337"/>
      <c r="D84" s="2338"/>
      <c r="K84" s="797"/>
      <c r="L84" s="797"/>
    </row>
    <row r="85" spans="1:12" s="962" customFormat="1">
      <c r="A85" s="2337"/>
      <c r="D85" s="2338"/>
      <c r="K85" s="797"/>
      <c r="L85" s="797"/>
    </row>
    <row r="86" spans="1:12" s="962" customFormat="1">
      <c r="A86" s="2337"/>
      <c r="D86" s="2338"/>
      <c r="K86" s="797"/>
      <c r="L86" s="797"/>
    </row>
    <row r="87" spans="1:12" s="962" customFormat="1">
      <c r="A87" s="2337"/>
      <c r="D87" s="2338"/>
      <c r="K87" s="797"/>
      <c r="L87" s="797"/>
    </row>
    <row r="88" spans="1:12" s="962" customFormat="1">
      <c r="A88" s="2337"/>
      <c r="D88" s="2338"/>
      <c r="K88" s="797"/>
      <c r="L88" s="797"/>
    </row>
    <row r="89" spans="1:12" s="962" customFormat="1">
      <c r="A89" s="2337"/>
      <c r="D89" s="2338"/>
      <c r="K89" s="797"/>
      <c r="L89" s="797"/>
    </row>
    <row r="90" spans="1:12" s="962" customFormat="1">
      <c r="A90" s="2337"/>
      <c r="D90" s="2338"/>
      <c r="K90" s="797"/>
      <c r="L90" s="797"/>
    </row>
    <row r="91" spans="1:12" s="962" customFormat="1">
      <c r="A91" s="2337"/>
      <c r="D91" s="2338"/>
      <c r="K91" s="797"/>
      <c r="L91" s="797"/>
    </row>
    <row r="92" spans="1:12" s="962" customFormat="1">
      <c r="A92" s="2337"/>
      <c r="D92" s="2338"/>
      <c r="K92" s="797"/>
      <c r="L92" s="797"/>
    </row>
    <row r="93" spans="1:12" s="962" customFormat="1">
      <c r="A93" s="2337"/>
      <c r="D93" s="2338"/>
      <c r="K93" s="797"/>
      <c r="L93" s="797"/>
    </row>
    <row r="94" spans="1:12" s="962" customFormat="1">
      <c r="A94" s="2337"/>
      <c r="D94" s="2338"/>
      <c r="K94" s="797"/>
      <c r="L94" s="797"/>
    </row>
    <row r="95" spans="1:12" s="962" customFormat="1">
      <c r="A95" s="2337"/>
      <c r="D95" s="2338"/>
      <c r="K95" s="797"/>
      <c r="L95" s="797"/>
    </row>
    <row r="96" spans="1:12" s="962" customFormat="1">
      <c r="A96" s="2337"/>
      <c r="D96" s="2338"/>
      <c r="K96" s="797"/>
      <c r="L96" s="797"/>
    </row>
    <row r="97" spans="1:12" s="962" customFormat="1">
      <c r="A97" s="2337"/>
      <c r="D97" s="2338"/>
      <c r="K97" s="797"/>
      <c r="L97" s="797"/>
    </row>
    <row r="98" spans="1:12" s="962" customFormat="1">
      <c r="A98" s="2337"/>
      <c r="D98" s="2338"/>
      <c r="K98" s="797"/>
      <c r="L98" s="797"/>
    </row>
    <row r="99" spans="1:12" s="962" customFormat="1">
      <c r="A99" s="2337"/>
      <c r="D99" s="2338"/>
      <c r="K99" s="797"/>
      <c r="L99" s="797"/>
    </row>
    <row r="100" spans="1:12" s="962" customFormat="1">
      <c r="A100" s="2337"/>
      <c r="D100" s="2338"/>
      <c r="K100" s="797"/>
      <c r="L100" s="797"/>
    </row>
    <row r="101" spans="1:12" s="962" customFormat="1">
      <c r="A101" s="2337"/>
      <c r="D101" s="2338"/>
      <c r="K101" s="797"/>
      <c r="L101" s="797"/>
    </row>
    <row r="102" spans="1:12" s="962" customFormat="1">
      <c r="A102" s="2337"/>
      <c r="D102" s="2338"/>
      <c r="K102" s="797"/>
      <c r="L102" s="797"/>
    </row>
    <row r="103" spans="1:12" s="962" customFormat="1">
      <c r="A103" s="2337"/>
      <c r="D103" s="2338"/>
      <c r="K103" s="797"/>
      <c r="L103" s="797"/>
    </row>
    <row r="104" spans="1:12" s="962" customFormat="1">
      <c r="A104" s="2337"/>
      <c r="D104" s="2338"/>
      <c r="K104" s="797"/>
      <c r="L104" s="797"/>
    </row>
    <row r="105" spans="1:12" s="962" customFormat="1">
      <c r="A105" s="2337"/>
      <c r="D105" s="2338"/>
      <c r="K105" s="797"/>
      <c r="L105" s="797"/>
    </row>
    <row r="106" spans="1:12" s="962" customFormat="1">
      <c r="A106" s="2337"/>
      <c r="D106" s="2338"/>
      <c r="K106" s="797"/>
      <c r="L106" s="797"/>
    </row>
    <row r="107" spans="1:12" s="962" customFormat="1">
      <c r="A107" s="2337"/>
      <c r="D107" s="2338"/>
      <c r="K107" s="797"/>
      <c r="L107" s="797"/>
    </row>
    <row r="108" spans="1:12" s="962" customFormat="1">
      <c r="A108" s="2337"/>
      <c r="D108" s="2338"/>
      <c r="K108" s="797"/>
      <c r="L108" s="797"/>
    </row>
    <row r="109" spans="1:12" s="962" customFormat="1">
      <c r="A109" s="2337"/>
      <c r="D109" s="2338"/>
      <c r="K109" s="797"/>
      <c r="L109" s="797"/>
    </row>
    <row r="110" spans="1:12" s="962" customFormat="1">
      <c r="A110" s="2337"/>
      <c r="D110" s="2338"/>
      <c r="K110" s="797"/>
      <c r="L110" s="797"/>
    </row>
    <row r="111" spans="1:12" s="962" customFormat="1">
      <c r="A111" s="2337"/>
      <c r="D111" s="2338"/>
      <c r="K111" s="797"/>
      <c r="L111" s="797"/>
    </row>
    <row r="112" spans="1:12" s="962" customFormat="1">
      <c r="A112" s="2337"/>
      <c r="D112" s="2338"/>
      <c r="K112" s="797"/>
      <c r="L112" s="797"/>
    </row>
    <row r="113" spans="1:12" s="962" customFormat="1">
      <c r="A113" s="2337"/>
      <c r="D113" s="2338"/>
      <c r="K113" s="797"/>
      <c r="L113" s="797"/>
    </row>
    <row r="114" spans="1:12" s="962" customFormat="1">
      <c r="A114" s="2337"/>
      <c r="D114" s="2338"/>
      <c r="K114" s="797"/>
      <c r="L114" s="797"/>
    </row>
    <row r="115" spans="1:12" s="962" customFormat="1">
      <c r="A115" s="2337"/>
      <c r="D115" s="2338"/>
      <c r="K115" s="797"/>
      <c r="L115" s="797"/>
    </row>
    <row r="116" spans="1:12" s="962" customFormat="1">
      <c r="A116" s="2337"/>
      <c r="D116" s="2338"/>
      <c r="K116" s="797"/>
      <c r="L116" s="797"/>
    </row>
    <row r="117" spans="1:12" s="962" customFormat="1">
      <c r="A117" s="2337"/>
      <c r="D117" s="2338"/>
      <c r="K117" s="797"/>
      <c r="L117" s="797"/>
    </row>
    <row r="118" spans="1:12" s="962" customFormat="1">
      <c r="A118" s="2337"/>
      <c r="D118" s="2338"/>
      <c r="K118" s="797"/>
      <c r="L118" s="797"/>
    </row>
    <row r="119" spans="1:12" s="962" customFormat="1">
      <c r="A119" s="2337"/>
      <c r="D119" s="2338"/>
      <c r="K119" s="797"/>
      <c r="L119" s="797"/>
    </row>
    <row r="120" spans="1:12" s="962" customFormat="1">
      <c r="A120" s="2337"/>
      <c r="D120" s="2338"/>
      <c r="K120" s="797"/>
      <c r="L120" s="797"/>
    </row>
    <row r="121" spans="1:12" s="962" customFormat="1">
      <c r="A121" s="2337"/>
      <c r="D121" s="2338"/>
      <c r="K121" s="797"/>
      <c r="L121" s="797"/>
    </row>
    <row r="122" spans="1:12" s="962" customFormat="1">
      <c r="A122" s="2337"/>
      <c r="D122" s="2338"/>
      <c r="K122" s="797"/>
      <c r="L122" s="797"/>
    </row>
    <row r="123" spans="1:12" s="962" customFormat="1">
      <c r="A123" s="2337"/>
      <c r="D123" s="2338"/>
      <c r="K123" s="797"/>
      <c r="L123" s="797"/>
    </row>
    <row r="124" spans="1:12" s="962" customFormat="1">
      <c r="A124" s="2337"/>
      <c r="D124" s="2338"/>
      <c r="K124" s="797"/>
      <c r="L124" s="797"/>
    </row>
    <row r="125" spans="1:12" s="962" customFormat="1">
      <c r="A125" s="2337"/>
      <c r="D125" s="2338"/>
      <c r="K125" s="797"/>
      <c r="L125" s="797"/>
    </row>
    <row r="126" spans="1:12" s="962" customFormat="1">
      <c r="A126" s="2337"/>
      <c r="D126" s="2338"/>
      <c r="K126" s="797"/>
      <c r="L126" s="797"/>
    </row>
    <row r="127" spans="1:12" s="962" customFormat="1">
      <c r="A127" s="2337"/>
      <c r="D127" s="2338"/>
      <c r="K127" s="797"/>
      <c r="L127" s="797"/>
    </row>
    <row r="128" spans="1:12" s="962" customFormat="1">
      <c r="A128" s="2337"/>
      <c r="D128" s="2338"/>
      <c r="K128" s="797"/>
      <c r="L128" s="797"/>
    </row>
    <row r="129" spans="1:12" s="962" customFormat="1">
      <c r="A129" s="2337"/>
      <c r="D129" s="2338"/>
      <c r="K129" s="797"/>
      <c r="L129" s="797"/>
    </row>
    <row r="130" spans="1:12" s="962" customFormat="1">
      <c r="A130" s="2337"/>
      <c r="D130" s="2338"/>
      <c r="K130" s="797"/>
      <c r="L130" s="797"/>
    </row>
    <row r="131" spans="1:12" s="962" customFormat="1">
      <c r="A131" s="2337"/>
      <c r="D131" s="2338"/>
      <c r="K131" s="797"/>
      <c r="L131" s="797"/>
    </row>
    <row r="132" spans="1:12" s="962" customFormat="1">
      <c r="A132" s="2337"/>
      <c r="D132" s="2338"/>
      <c r="K132" s="797"/>
      <c r="L132" s="797"/>
    </row>
    <row r="133" spans="1:12" s="962"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109" t="s">
        <v>2083</v>
      </c>
      <c r="B1" s="3110"/>
      <c r="C1" s="3110"/>
      <c r="D1" s="3110"/>
      <c r="E1" s="3110"/>
      <c r="F1" s="3110"/>
      <c r="G1" s="311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4" t="s">
        <v>2086</v>
      </c>
      <c r="B3" s="1266"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3" t="s">
        <v>2091</v>
      </c>
      <c r="C4" s="2370" t="s">
        <v>2092</v>
      </c>
      <c r="D4" s="2367"/>
      <c r="E4" s="2371"/>
      <c r="F4" s="41" t="s">
        <v>2093</v>
      </c>
      <c r="G4" s="2372" t="s">
        <v>2094</v>
      </c>
      <c r="H4" s="2364"/>
      <c r="I4" s="2364"/>
      <c r="J4" s="2364"/>
      <c r="K4" s="2364"/>
      <c r="L4" s="2364"/>
      <c r="M4" s="2364"/>
      <c r="N4" s="2364"/>
      <c r="O4" s="2364"/>
      <c r="P4" s="2364"/>
      <c r="Q4" s="2364"/>
      <c r="R4" s="2364"/>
    </row>
    <row r="5" spans="1:29" ht="27">
      <c r="A5" s="430"/>
      <c r="B5" s="1793" t="s">
        <v>2095</v>
      </c>
      <c r="C5" s="2987" t="s">
        <v>3133</v>
      </c>
      <c r="D5" s="2367"/>
      <c r="E5" s="2371"/>
      <c r="F5" s="1793" t="s">
        <v>2096</v>
      </c>
      <c r="G5" s="2372" t="s">
        <v>2097</v>
      </c>
      <c r="H5" s="2364"/>
      <c r="I5" s="2364"/>
      <c r="J5" s="2364"/>
      <c r="K5" s="2364"/>
      <c r="L5" s="2364"/>
      <c r="M5" s="2364"/>
      <c r="N5" s="2364"/>
      <c r="O5" s="2364"/>
      <c r="P5" s="2364"/>
      <c r="Q5" s="2364"/>
      <c r="R5" s="2364"/>
    </row>
    <row r="6" spans="1:29" ht="40.5">
      <c r="A6" s="430"/>
      <c r="B6" s="1793" t="s">
        <v>2098</v>
      </c>
      <c r="C6" s="2988" t="s">
        <v>3132</v>
      </c>
      <c r="D6" s="2367"/>
      <c r="E6" s="2371"/>
      <c r="F6" s="1793" t="s">
        <v>2099</v>
      </c>
      <c r="G6" s="2372" t="s">
        <v>2100</v>
      </c>
      <c r="H6" s="2364"/>
      <c r="I6" s="2364"/>
      <c r="J6" s="2364"/>
      <c r="K6" s="2364"/>
      <c r="L6" s="2364"/>
      <c r="M6" s="2364"/>
      <c r="N6" s="2364"/>
      <c r="O6" s="2364"/>
      <c r="P6" s="2364"/>
      <c r="Q6" s="2364"/>
      <c r="R6" s="2364"/>
    </row>
    <row r="7" spans="1:29" ht="41.25" thickBot="1">
      <c r="A7" s="430"/>
      <c r="B7" s="1793" t="s">
        <v>2096</v>
      </c>
      <c r="C7" s="2988" t="s">
        <v>3131</v>
      </c>
      <c r="D7" s="2373"/>
      <c r="E7" s="2374"/>
      <c r="F7" s="2375" t="s">
        <v>2101</v>
      </c>
      <c r="G7" s="2376" t="s">
        <v>2102</v>
      </c>
      <c r="H7" s="2364"/>
      <c r="I7" s="2364"/>
      <c r="J7" s="2364"/>
      <c r="K7" s="2364"/>
      <c r="L7" s="2364"/>
      <c r="M7" s="2364"/>
      <c r="N7" s="2364"/>
      <c r="O7" s="2364"/>
      <c r="P7" s="2364"/>
      <c r="Q7" s="2364"/>
      <c r="R7" s="2364"/>
    </row>
    <row r="8" spans="1:29" ht="27">
      <c r="A8" s="430"/>
      <c r="B8" s="1793" t="s">
        <v>2099</v>
      </c>
      <c r="C8" s="2988" t="s">
        <v>3130</v>
      </c>
      <c r="D8" s="2373"/>
      <c r="E8" s="2373"/>
      <c r="F8" s="1131"/>
      <c r="G8" s="1131"/>
      <c r="H8" s="2364"/>
      <c r="I8" s="2364"/>
      <c r="J8" s="2364"/>
      <c r="K8" s="2364"/>
      <c r="L8" s="2364"/>
      <c r="M8" s="2364"/>
      <c r="N8" s="2364"/>
      <c r="O8" s="2364"/>
      <c r="P8" s="2364"/>
      <c r="Q8" s="2364"/>
      <c r="R8" s="2364"/>
    </row>
    <row r="9" spans="1:29" ht="40.5">
      <c r="A9" s="430"/>
      <c r="B9" s="1793" t="s">
        <v>2103</v>
      </c>
      <c r="C9" s="2987" t="s">
        <v>3129</v>
      </c>
      <c r="D9" s="2367"/>
      <c r="E9" s="2373"/>
      <c r="F9" s="1131"/>
      <c r="G9" s="1131"/>
      <c r="H9" s="2364"/>
      <c r="I9" s="2364"/>
      <c r="J9" s="2364"/>
      <c r="K9" s="2364"/>
      <c r="L9" s="2364"/>
      <c r="M9" s="2364"/>
      <c r="N9" s="2364"/>
      <c r="O9" s="2364"/>
      <c r="P9" s="2364"/>
      <c r="Q9" s="2364"/>
      <c r="R9" s="2364"/>
    </row>
    <row r="10" spans="1:29" s="116" customFormat="1" ht="15.75" thickBot="1">
      <c r="A10" s="2377"/>
      <c r="B10" s="2378" t="s">
        <v>2104</v>
      </c>
      <c r="C10" s="2989" t="s">
        <v>3135</v>
      </c>
      <c r="D10" s="2367"/>
      <c r="E10" s="2367"/>
      <c r="F10" s="1131"/>
      <c r="G10" s="1131"/>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3"/>
      <c r="C11" s="2367"/>
      <c r="D11" s="2367"/>
      <c r="E11" s="2367"/>
      <c r="F11" s="2373"/>
      <c r="G11" s="1149"/>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49"/>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2105</v>
      </c>
      <c r="B13" s="2383"/>
      <c r="C13" s="2383"/>
      <c r="D13" s="2390"/>
      <c r="E13" s="2383"/>
      <c r="F13" s="2383"/>
      <c r="G13" s="2383"/>
    </row>
    <row r="14" spans="1:29" ht="15.75" thickBot="1">
      <c r="A14" s="2394"/>
      <c r="B14" s="2395"/>
      <c r="C14" s="2396" t="s">
        <v>2106</v>
      </c>
      <c r="D14" s="2367"/>
      <c r="E14" s="2397"/>
      <c r="F14" s="2397"/>
      <c r="G14" s="2361" t="s">
        <v>2107</v>
      </c>
    </row>
    <row r="15" spans="1:29" ht="57">
      <c r="A15" s="67" t="s">
        <v>2108</v>
      </c>
      <c r="B15" s="1265" t="s">
        <v>2087</v>
      </c>
      <c r="C15" s="2398" t="str">
        <f>C3</f>
        <v>估价对象周边居住用地比例、居住小区规模和社区发展完善程度，综合评价居住社区成熟度一般</v>
      </c>
      <c r="D15" s="2367"/>
      <c r="E15" s="2399" t="s">
        <v>2109</v>
      </c>
      <c r="F15" s="1265" t="s">
        <v>2110</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7"/>
      <c r="E16" s="2402"/>
      <c r="F16" s="2403" t="s">
        <v>2093</v>
      </c>
      <c r="G16" s="135" t="str">
        <f>G4</f>
        <v>估价对象周边道路状况、公共交通通达情况、停车便捷程度，综合评价交通便捷度较好</v>
      </c>
    </row>
    <row r="17" spans="1:18" ht="28.5">
      <c r="A17" s="644"/>
      <c r="B17" s="2400" t="s">
        <v>2095</v>
      </c>
      <c r="C17" s="2401" t="str">
        <f>C5</f>
        <v>周边办公楼项目较多，入驻率高，办公集聚程度较好</v>
      </c>
      <c r="D17" s="2373"/>
      <c r="E17" s="2402"/>
      <c r="F17" s="2403" t="s">
        <v>2111</v>
      </c>
      <c r="G17" s="1567"/>
    </row>
    <row r="18" spans="1:18" ht="42.75">
      <c r="A18" s="644"/>
      <c r="B18" s="2403" t="s">
        <v>2098</v>
      </c>
      <c r="C18" s="135" t="str">
        <f>C6</f>
        <v>估价对象周边道路通达、公共交通便捷、停车便捷，综合评价交通便捷度较好</v>
      </c>
      <c r="D18" s="2373"/>
      <c r="E18" s="2402"/>
      <c r="F18" s="2403" t="s">
        <v>2101</v>
      </c>
      <c r="G18" s="135" t="str">
        <f>G7</f>
        <v>该园区内是否有污染型企业，绿化情况，卫生条件，整体环境状况判断</v>
      </c>
    </row>
    <row r="19" spans="1:18" ht="28.5">
      <c r="A19" s="644"/>
      <c r="B19" s="2403" t="s">
        <v>2112</v>
      </c>
      <c r="C19" s="1567"/>
      <c r="D19" s="2367"/>
      <c r="E19" s="2402"/>
      <c r="F19" s="1793" t="s">
        <v>2096</v>
      </c>
      <c r="G19" s="135" t="str">
        <f>G5</f>
        <v>估价对象所在区域公共配套设施齐备情况</v>
      </c>
    </row>
    <row r="20" spans="1:18" ht="42.75">
      <c r="A20" s="644"/>
      <c r="B20" s="2403" t="s">
        <v>2113</v>
      </c>
      <c r="C20" s="2401" t="str">
        <f>C9</f>
        <v>区域自然环境较好；人文环境一般；综合评价环境状况较好</v>
      </c>
      <c r="D20" s="2373"/>
      <c r="E20" s="2402"/>
      <c r="F20" s="1793" t="s">
        <v>2114</v>
      </c>
      <c r="G20" s="135" t="str">
        <f>G6</f>
        <v>估价对象所在区域基础设施水平</v>
      </c>
    </row>
    <row r="21" spans="1:18" ht="28.5">
      <c r="A21" s="644"/>
      <c r="B21" s="1793" t="s">
        <v>2096</v>
      </c>
      <c r="C21" s="135" t="str">
        <f>C7</f>
        <v>估价对象所在区域公共配套设施较齐备</v>
      </c>
      <c r="D21" s="2367"/>
      <c r="E21" s="2402"/>
      <c r="F21" s="2403" t="s">
        <v>2115</v>
      </c>
      <c r="G21" s="2404"/>
    </row>
    <row r="22" spans="1:18" ht="13.5" customHeight="1">
      <c r="A22" s="644"/>
      <c r="B22" s="1793" t="s">
        <v>2099</v>
      </c>
      <c r="C22" s="135" t="str">
        <f>C8</f>
        <v>估价对象所在区域基础设施水平达七通</v>
      </c>
      <c r="D22" s="2367"/>
      <c r="E22" s="2402"/>
      <c r="F22" s="2403" t="s">
        <v>2104</v>
      </c>
      <c r="G22" s="1567"/>
    </row>
    <row r="23" spans="1:18" s="2364" customFormat="1" ht="15.75" thickBot="1">
      <c r="A23" s="644"/>
      <c r="B23" s="2403" t="s">
        <v>2115</v>
      </c>
      <c r="C23" s="2404" t="s">
        <v>3134</v>
      </c>
      <c r="D23" s="2391"/>
      <c r="E23" s="2405"/>
      <c r="F23" s="2406" t="s">
        <v>2116</v>
      </c>
      <c r="G23" s="2407"/>
      <c r="H23" s="2391"/>
      <c r="I23" s="2392"/>
      <c r="J23" s="2391"/>
      <c r="K23" s="2391"/>
      <c r="L23" s="2392"/>
      <c r="M23" s="2391"/>
      <c r="N23" s="2391"/>
      <c r="O23" s="2392"/>
      <c r="P23" s="2391"/>
      <c r="Q23" s="2391"/>
      <c r="R23" s="2393"/>
    </row>
    <row r="24" spans="1:18" s="2364" customFormat="1" ht="15.75" thickBot="1">
      <c r="A24" s="2408"/>
      <c r="B24" s="2406" t="s">
        <v>2117</v>
      </c>
      <c r="C24" s="136" t="str">
        <f>C10</f>
        <v>支路——东北旺路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5" sqref="C5"/>
    </sheetView>
  </sheetViews>
  <sheetFormatPr defaultRowHeight="13.5"/>
  <cols>
    <col min="1" max="1" width="23.375" style="1736" customWidth="1"/>
    <col min="2" max="9" width="15.75" style="1736" customWidth="1"/>
    <col min="10" max="16384" width="9" style="1736"/>
  </cols>
  <sheetData>
    <row r="1" spans="1:10" ht="16.5">
      <c r="A1" s="1741" t="s">
        <v>1365</v>
      </c>
      <c r="B1" s="1741">
        <f>SUM(B14:B23)</f>
        <v>34007.5</v>
      </c>
      <c r="C1" s="1740"/>
      <c r="D1" s="1740"/>
      <c r="E1" s="1740"/>
      <c r="F1" s="1740"/>
      <c r="G1" s="1738"/>
    </row>
    <row r="2" spans="1:10" ht="16.5">
      <c r="A2" s="1741" t="s">
        <v>1353</v>
      </c>
      <c r="B2" s="1741">
        <f>SUM(C14:C23)</f>
        <v>15019.599999999999</v>
      </c>
      <c r="C2" s="1740"/>
      <c r="D2" s="1740"/>
      <c r="E2" s="1740"/>
      <c r="F2" s="1740"/>
      <c r="G2" s="1738"/>
    </row>
    <row r="3" spans="1:10" ht="16.5">
      <c r="A3" s="1741" t="s">
        <v>1362</v>
      </c>
      <c r="B3" s="1742">
        <f>项目基本情况!D3</f>
        <v>43236</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128754</v>
      </c>
      <c r="C5" s="1741">
        <f ca="1">ROUND(B5*10000/$B$1,0)</f>
        <v>37860</v>
      </c>
      <c r="D5" s="1741">
        <f ca="1">ROUND(B5*10000/$B$2,0)</f>
        <v>85724</v>
      </c>
      <c r="E5" s="1740"/>
      <c r="F5" s="1738"/>
      <c r="G5" s="1738"/>
    </row>
    <row r="6" spans="1:10" ht="16.5">
      <c r="A6" s="1741" t="s">
        <v>1356</v>
      </c>
      <c r="B6" s="1741">
        <f ca="1">SUM(G14:G23)</f>
        <v>19210</v>
      </c>
      <c r="C6" s="1741">
        <f ca="1">ROUND(B6*10000/$B$1,0)</f>
        <v>5649</v>
      </c>
      <c r="D6" s="1741">
        <f ca="1">ROUND(B6*10000/$B$2,0)</f>
        <v>12790</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结果表仓储!B118</f>
        <v>6180.34</v>
      </c>
      <c r="C14" s="1739">
        <f>结果表仓储!C118</f>
        <v>2729.58</v>
      </c>
      <c r="D14" s="1739">
        <f ca="1">结果表仓储!H118</f>
        <v>19210</v>
      </c>
      <c r="E14" s="1739">
        <f ca="1">ROUND(D14*10000/B14,0)</f>
        <v>31082</v>
      </c>
      <c r="F14" s="1739">
        <f ca="1">ROUND(D14*10000/C14,0)</f>
        <v>70377</v>
      </c>
      <c r="G14" s="1739">
        <f ca="1">结果表仓储!D122</f>
        <v>19210</v>
      </c>
      <c r="H14" s="1739" t="str">
        <f>结果表仓储!D124</f>
        <v>——</v>
      </c>
      <c r="I14" s="1739" t="str">
        <f>结果表仓储!D126</f>
        <v>——</v>
      </c>
      <c r="J14" s="1738"/>
    </row>
    <row r="15" spans="1:10" ht="16.5">
      <c r="A15" s="1737" t="s">
        <v>1349</v>
      </c>
      <c r="B15" s="1744">
        <f>'数据-汇总表'!F19</f>
        <v>24052.409999999996</v>
      </c>
      <c r="C15" s="1744">
        <f>'数据-汇总表'!D19</f>
        <v>10622.88</v>
      </c>
      <c r="D15" s="1744">
        <f ca="1">结果表办公!G19</f>
        <v>106235</v>
      </c>
      <c r="E15" s="1739">
        <f t="shared" ref="E15:E23" ca="1" si="0">ROUND(D15*10000/B15,0)</f>
        <v>44168</v>
      </c>
      <c r="F15" s="1739">
        <f t="shared" ref="F15:F23" ca="1" si="1">ROUND(D15*10000/C15,0)</f>
        <v>100006</v>
      </c>
      <c r="G15" s="1745"/>
      <c r="H15" s="1745"/>
      <c r="I15" s="1744"/>
      <c r="J15" s="1738"/>
    </row>
    <row r="16" spans="1:10" ht="16.5">
      <c r="A16" s="1737" t="s">
        <v>1348</v>
      </c>
      <c r="B16" s="1744">
        <f>'数据-汇总表'!G21</f>
        <v>3774.75</v>
      </c>
      <c r="C16" s="1744">
        <f>'数据-汇总表'!D21</f>
        <v>1667.14</v>
      </c>
      <c r="D16" s="1744">
        <f ca="1">结果表车库!G19</f>
        <v>3309</v>
      </c>
      <c r="E16" s="1739">
        <f t="shared" ca="1" si="0"/>
        <v>8766</v>
      </c>
      <c r="F16" s="1739">
        <f t="shared" ca="1" si="1"/>
        <v>19848</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zoomScalePageLayoutView="80" workbookViewId="0">
      <selection activeCell="E42" sqref="E42"/>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27</v>
      </c>
      <c r="D1" s="2414"/>
      <c r="E1" s="2414"/>
      <c r="F1" s="2416" t="s">
        <v>2119</v>
      </c>
      <c r="G1" s="2067" t="s">
        <v>3059</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3174</v>
      </c>
      <c r="D4" s="2423" t="s">
        <v>3162</v>
      </c>
      <c r="E4" s="3163" t="s">
        <v>2123</v>
      </c>
      <c r="F4" s="3165"/>
      <c r="G4" s="3165"/>
      <c r="H4" s="3165"/>
      <c r="I4" s="3164"/>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195">
        <v>0.5</v>
      </c>
      <c r="D14" s="3197">
        <f>1-C14</f>
        <v>0.5</v>
      </c>
      <c r="E14" s="139" t="s">
        <v>2138</v>
      </c>
      <c r="F14" s="2425"/>
      <c r="G14" s="2425"/>
      <c r="H14" s="2425"/>
      <c r="I14" s="1829"/>
    </row>
    <row r="15" spans="1:12" ht="12.75">
      <c r="A15" s="3194"/>
      <c r="B15" s="3062"/>
      <c r="C15" s="3198"/>
      <c r="D15" s="3197"/>
      <c r="E15" s="139" t="s">
        <v>2139</v>
      </c>
      <c r="F15" s="2425"/>
      <c r="G15" s="2425"/>
      <c r="H15" s="2425"/>
      <c r="I15" s="1829"/>
    </row>
    <row r="16" spans="1:12" ht="12.75">
      <c r="A16" s="3194"/>
      <c r="B16" s="3062"/>
      <c r="C16" s="3196"/>
      <c r="D16" s="3197"/>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24052.409999999996</v>
      </c>
      <c r="M18" s="2424">
        <f>IF(C1="",'数据-汇总表'!E3,SUMIF(项目类型,C1,'数据-汇总表'!E17:E26))</f>
        <v>24052.409999999996</v>
      </c>
    </row>
    <row r="19" spans="1:35" ht="15">
      <c r="A19" s="2430" t="s">
        <v>2146</v>
      </c>
      <c r="B19" s="2431" t="s">
        <v>2147</v>
      </c>
      <c r="C19" s="142">
        <f ca="1">SUMIF(INDIRECT("'"&amp;C4&amp;"'"&amp;"!A:A"),结果表办公!B19,INDIRECT("'"&amp;C4&amp;"'"&amp;"!B:B"))</f>
        <v>107805</v>
      </c>
      <c r="D19" s="143">
        <f ca="1">SUMIF(INDIRECT("'"&amp;D4&amp;"'"&amp;"!A:A"),结果表办公!B19,INDIRECT("'"&amp;D4&amp;"'"&amp;"!B:B"))</f>
        <v>104665</v>
      </c>
      <c r="E19" s="2430" t="s">
        <v>2148</v>
      </c>
      <c r="F19" s="2431" t="s">
        <v>2147</v>
      </c>
      <c r="G19" s="144">
        <f ca="1">ROUND(C19*$C$18+D19*$D$18,0)</f>
        <v>106235</v>
      </c>
      <c r="H19" s="2432" t="s">
        <v>2149</v>
      </c>
      <c r="I19" s="137"/>
      <c r="K19" s="2424" t="s">
        <v>2150</v>
      </c>
      <c r="L19" s="2424">
        <f>IF(C1="",'数据-汇总表'!D3,SUMIF(项目类型,C1,'数据-汇总表'!D17:D26)+SUMIF(项目类型,C1,'数据-汇总表'!H17:H27))</f>
        <v>10622.88</v>
      </c>
      <c r="M19" s="2424">
        <f>IF(C1="",'数据-汇总表'!D3,SUMIF(项目类型,C1,'数据-汇总表'!D17:D26))</f>
        <v>10622.88</v>
      </c>
    </row>
    <row r="20" spans="1:35" ht="15">
      <c r="A20" s="2433"/>
      <c r="B20" s="1245" t="s">
        <v>2151</v>
      </c>
      <c r="C20" s="145">
        <f ca="1">SUMIF(INDIRECT("'"&amp;C4&amp;"'"&amp;"!A:A"),结果表办公!B20,INDIRECT("'"&amp;C4&amp;"'"&amp;"!B:B"))</f>
        <v>44821</v>
      </c>
      <c r="D20" s="146">
        <f ca="1">SUMIF(INDIRECT("'"&amp;D4&amp;"'"&amp;"!A:A"),结果表办公!B20,INDIRECT("'"&amp;D4&amp;"'"&amp;"!B:B"))</f>
        <v>43515</v>
      </c>
      <c r="E20" s="2433"/>
      <c r="F20" s="1245" t="s">
        <v>2151</v>
      </c>
      <c r="G20" s="147">
        <f ca="1">ROUND(C20*$C$18+D20*$D$18,0)</f>
        <v>44168</v>
      </c>
      <c r="H20" s="978" t="s">
        <v>2152</v>
      </c>
      <c r="I20" s="137"/>
    </row>
    <row r="21" spans="1:35" ht="15" customHeight="1" thickBot="1">
      <c r="A21" s="998"/>
      <c r="B21" s="2434" t="s">
        <v>2153</v>
      </c>
      <c r="C21" s="788">
        <f ca="1">ROUND(C19*10000/L19,0)</f>
        <v>101484</v>
      </c>
      <c r="D21" s="789">
        <f ca="1">ROUND(D19*10000/L19,0)</f>
        <v>98528</v>
      </c>
      <c r="E21" s="998"/>
      <c r="F21" s="2434" t="s">
        <v>2153</v>
      </c>
      <c r="G21" s="148">
        <f ca="1">ROUND(G19*10000/L19,0)</f>
        <v>100006</v>
      </c>
      <c r="H21" s="2435" t="s">
        <v>2152</v>
      </c>
      <c r="I21" s="137"/>
    </row>
    <row r="22" spans="1:35" ht="15" thickBot="1">
      <c r="A22" s="2277" t="s">
        <v>2154</v>
      </c>
      <c r="B22" s="2436"/>
      <c r="C22" s="2437"/>
      <c r="D22" s="790">
        <f ca="1">IF(C19&lt;D19,D19/C19-1,C19/D19-1)</f>
        <v>3.0000477714613227E-2</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3037</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106235</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106235</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2954">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2954">
        <v>2</v>
      </c>
      <c r="K47" s="3175" t="s">
        <v>2194</v>
      </c>
      <c r="L47" s="3175"/>
      <c r="M47" s="3176">
        <f>'数据-取费表'!B2</f>
        <v>43236</v>
      </c>
      <c r="N47" s="3176"/>
      <c r="O47" s="3176"/>
    </row>
    <row r="48" spans="1:15" ht="25.5">
      <c r="A48" s="3177" t="s">
        <v>2195</v>
      </c>
      <c r="B48" s="3172"/>
      <c r="C48" s="3172"/>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75" t="s">
        <v>2198</v>
      </c>
      <c r="L48" s="3175"/>
      <c r="M48" s="3178">
        <f ca="1">H101</f>
        <v>106235</v>
      </c>
      <c r="N48" s="3178"/>
      <c r="O48" s="3178"/>
    </row>
    <row r="49" spans="1:35" ht="25.5" customHeight="1">
      <c r="A49" s="175" t="s">
        <v>2199</v>
      </c>
      <c r="B49" s="3152" t="s">
        <v>2200</v>
      </c>
      <c r="C49" s="3152"/>
      <c r="D49" s="176">
        <v>0</v>
      </c>
      <c r="E49" s="22" t="s">
        <v>2201</v>
      </c>
      <c r="F49" s="27" t="s">
        <v>34</v>
      </c>
      <c r="G49" s="3179"/>
      <c r="H49" s="137"/>
      <c r="I49" s="2479"/>
      <c r="J49" s="2954">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953" t="s">
        <v>2205</v>
      </c>
      <c r="K51" s="3175" t="s">
        <v>2206</v>
      </c>
      <c r="L51" s="3175"/>
      <c r="M51" s="2953" t="s">
        <v>2207</v>
      </c>
      <c r="N51" s="2953" t="s">
        <v>2208</v>
      </c>
      <c r="O51" s="2953" t="s">
        <v>2209</v>
      </c>
    </row>
    <row r="52" spans="1:35" ht="24" customHeight="1">
      <c r="A52" s="182" t="s">
        <v>2210</v>
      </c>
      <c r="B52" s="3152" t="s">
        <v>2211</v>
      </c>
      <c r="C52" s="3152"/>
      <c r="D52" s="181">
        <f ca="1">ROUND(D45*'数据-取费表'!B41/(1+'数据-取费表'!C42),0)</f>
        <v>5666</v>
      </c>
      <c r="E52" s="11" t="s">
        <v>2212</v>
      </c>
      <c r="F52" s="183">
        <f>'数据-取费表'!B41</f>
        <v>5.6000000000000001E-2</v>
      </c>
      <c r="G52" s="2481"/>
      <c r="H52" s="137"/>
      <c r="I52" s="2479"/>
      <c r="J52" s="2954">
        <v>1</v>
      </c>
      <c r="K52" s="3159" t="s">
        <v>2213</v>
      </c>
      <c r="L52" s="3159"/>
      <c r="M52" s="1749">
        <f>D48</f>
        <v>0</v>
      </c>
      <c r="N52" s="2954" t="str">
        <f>E48</f>
        <v>销售额×税（费）率</v>
      </c>
      <c r="O52" s="1750" t="str">
        <f>F48</f>
        <v>免征</v>
      </c>
    </row>
    <row r="53" spans="1:35" ht="12" customHeight="1">
      <c r="A53" s="182" t="s">
        <v>2214</v>
      </c>
      <c r="B53" s="3151" t="s">
        <v>2215</v>
      </c>
      <c r="C53" s="3170"/>
      <c r="D53" s="181">
        <f ca="1">ROUND(D45*'数据-取费表'!B41/(1+'数据-取费表'!C42),0)</f>
        <v>5666</v>
      </c>
      <c r="E53" s="11" t="s">
        <v>2212</v>
      </c>
      <c r="F53" s="183">
        <f>'数据-取费表'!B41</f>
        <v>5.6000000000000001E-2</v>
      </c>
      <c r="G53" s="2481"/>
      <c r="H53" s="137"/>
      <c r="I53" s="2479"/>
      <c r="J53" s="2954">
        <v>2</v>
      </c>
      <c r="K53" s="3159" t="s">
        <v>2216</v>
      </c>
      <c r="L53" s="3159"/>
      <c r="M53" s="1749">
        <f t="shared" ref="M53:O54" ca="1" si="0">D55</f>
        <v>53</v>
      </c>
      <c r="N53" s="2954" t="str">
        <f t="shared" si="0"/>
        <v>销售额×税（费）率</v>
      </c>
      <c r="O53" s="1750">
        <f t="shared" si="0"/>
        <v>5.0000000000000001E-4</v>
      </c>
    </row>
    <row r="54" spans="1:35" ht="12" customHeight="1">
      <c r="A54" s="182" t="s">
        <v>2217</v>
      </c>
      <c r="B54" s="3151" t="s">
        <v>2218</v>
      </c>
      <c r="C54" s="3170"/>
      <c r="D54" s="181">
        <f ca="1">C68</f>
        <v>5666</v>
      </c>
      <c r="E54" s="29" t="s">
        <v>2219</v>
      </c>
      <c r="F54" s="183">
        <f>'数据-取费表'!B41</f>
        <v>5.6000000000000001E-2</v>
      </c>
      <c r="G54" s="2481"/>
      <c r="H54" s="2482"/>
      <c r="I54" s="2479"/>
      <c r="J54" s="2954">
        <v>3</v>
      </c>
      <c r="K54" s="3159" t="s">
        <v>2220</v>
      </c>
      <c r="L54" s="3159"/>
      <c r="M54" s="1749">
        <f t="shared" ca="1" si="0"/>
        <v>60129</v>
      </c>
      <c r="N54" s="2954" t="str">
        <f t="shared" si="0"/>
        <v>增值额×税（费）率</v>
      </c>
      <c r="O54" s="1751" t="str">
        <f t="shared" si="0"/>
        <v>——</v>
      </c>
    </row>
    <row r="55" spans="1:35" ht="24" customHeight="1">
      <c r="A55" s="3171" t="s">
        <v>2221</v>
      </c>
      <c r="B55" s="3172"/>
      <c r="C55" s="3172"/>
      <c r="D55" s="184">
        <f ca="1">IF(H55="个人住宅",0,ROUND(D45*I55,0))</f>
        <v>53</v>
      </c>
      <c r="E55" s="11" t="s">
        <v>2222</v>
      </c>
      <c r="F55" s="183">
        <f>IF(H55="正常",I55,"免征")</f>
        <v>5.0000000000000001E-4</v>
      </c>
      <c r="G55" s="2481"/>
      <c r="H55" s="2478" t="s">
        <v>2223</v>
      </c>
      <c r="I55" s="185">
        <f>'数据-取费表'!B49</f>
        <v>5.0000000000000001E-4</v>
      </c>
      <c r="J55" s="2954" t="str">
        <f>IF(H59="非个人房产","",4)</f>
        <v/>
      </c>
      <c r="K55" s="3159" t="str">
        <f>IF(H59="非个人房产","——","个人所得税")</f>
        <v>——</v>
      </c>
      <c r="L55" s="3159"/>
      <c r="M55" s="1752" t="str">
        <f>D59</f>
        <v>——</v>
      </c>
      <c r="N55" s="2955" t="str">
        <f>E59</f>
        <v>——</v>
      </c>
      <c r="O55" s="1753" t="str">
        <f>F59</f>
        <v>——</v>
      </c>
    </row>
    <row r="56" spans="1:35" ht="24.75">
      <c r="A56" s="3171" t="s">
        <v>2224</v>
      </c>
      <c r="B56" s="3172"/>
      <c r="C56" s="3172"/>
      <c r="D56" s="184">
        <f ca="1">IF(H56="个人住宅",D57,D58)</f>
        <v>60129</v>
      </c>
      <c r="E56" s="11" t="s">
        <v>2225</v>
      </c>
      <c r="F56" s="183" t="str">
        <f>IF(H56="正常",F58,"免征")</f>
        <v>——</v>
      </c>
      <c r="G56" s="2483" t="s">
        <v>2226</v>
      </c>
      <c r="H56" s="2484" t="s">
        <v>2223</v>
      </c>
      <c r="I56" s="2485"/>
      <c r="J56" s="2954"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IF(AND(J55="",J56=""),4,IF(项目基本情况!K6="上海银行",结果表办公!J56+1,结果表办公!J55+1))</f>
        <v>4</v>
      </c>
      <c r="K57" s="3159" t="s">
        <v>2228</v>
      </c>
      <c r="L57" s="2486" t="s">
        <v>2229</v>
      </c>
      <c r="M57" s="1754"/>
      <c r="N57" s="1755">
        <f ca="1">SUMIF(M52:M56,"&lt;9e307")</f>
        <v>60182</v>
      </c>
      <c r="O57" s="2487"/>
      <c r="P57" s="1748" t="e">
        <f ca="1">N57/M49</f>
        <v>#VALUE!</v>
      </c>
    </row>
    <row r="58" spans="1:35" ht="24.75">
      <c r="A58" s="182" t="s">
        <v>2210</v>
      </c>
      <c r="B58" s="3163" t="s">
        <v>2230</v>
      </c>
      <c r="C58" s="3165"/>
      <c r="D58" s="184">
        <f ca="1">IF(H58="转让取得",C81,C97)</f>
        <v>60129</v>
      </c>
      <c r="E58" s="11" t="s">
        <v>2225</v>
      </c>
      <c r="F58" s="23" t="s">
        <v>34</v>
      </c>
      <c r="G58" s="2481"/>
      <c r="H58" s="2484" t="s">
        <v>2231</v>
      </c>
      <c r="I58" s="2485"/>
      <c r="J58" s="3159"/>
      <c r="K58" s="3159"/>
      <c r="L58" s="2486" t="s">
        <v>2232</v>
      </c>
      <c r="M58" s="1756"/>
      <c r="N58" s="2488" t="str">
        <f ca="1">NUMBERSTRING(INT(N57*10000),2)&amp;"元整"</f>
        <v>陆亿零壹佰捌拾贰万元整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2954"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2954">
        <f>J59+1</f>
        <v>6</v>
      </c>
      <c r="K61" s="3159" t="s">
        <v>2237</v>
      </c>
      <c r="L61" s="3159"/>
      <c r="M61" s="1759"/>
      <c r="N61" s="1760" t="e">
        <f ca="1">ROUND(N59*10000/'数据-汇总表'!E3,0)</f>
        <v>#VALUE!</v>
      </c>
      <c r="O61" s="2494"/>
    </row>
    <row r="62" spans="1:35" ht="12.75">
      <c r="A62" s="3156" t="s">
        <v>2238</v>
      </c>
      <c r="B62" s="3157"/>
      <c r="C62" s="2948"/>
      <c r="D62" s="2948" t="s">
        <v>2239</v>
      </c>
      <c r="E62" s="191" t="s">
        <v>2240</v>
      </c>
      <c r="F62" s="2485"/>
      <c r="G62" s="2485"/>
      <c r="H62" s="2493"/>
      <c r="I62" s="137"/>
    </row>
    <row r="63" spans="1:35" ht="12.75">
      <c r="A63" s="202" t="s">
        <v>775</v>
      </c>
      <c r="B63" s="192" t="s">
        <v>2241</v>
      </c>
      <c r="C63" s="193">
        <f ca="1">ROUND((C64+C65)/(1+'数据-取费表'!C42),0)</f>
        <v>101176</v>
      </c>
      <c r="D63" s="194"/>
      <c r="E63" s="195"/>
      <c r="F63" s="2485"/>
      <c r="G63" s="2485"/>
      <c r="H63" s="2493"/>
      <c r="I63" s="137"/>
      <c r="J63" s="3160"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106235</v>
      </c>
      <c r="D64" s="199" t="s">
        <v>32</v>
      </c>
      <c r="E64" s="200"/>
      <c r="F64" s="2485"/>
      <c r="G64" s="2485"/>
      <c r="H64" s="2493"/>
      <c r="I64" s="137"/>
      <c r="J64" s="3160"/>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958" t="s">
        <v>2250</v>
      </c>
      <c r="L66" s="1747" t="e">
        <f>M49*0.5%</f>
        <v>#VALUE!</v>
      </c>
      <c r="M66" s="23" t="e">
        <f>IF(L66&gt;0.5,0.5,ROUND(L66,0))</f>
        <v>#VALUE!</v>
      </c>
      <c r="N66" s="137" t="s">
        <v>2251</v>
      </c>
      <c r="Z66" s="2419"/>
      <c r="AI66" s="2420"/>
    </row>
    <row r="67" spans="1:35" ht="14.25" customHeight="1">
      <c r="A67" s="202" t="s">
        <v>773</v>
      </c>
      <c r="B67" s="203" t="s">
        <v>2252</v>
      </c>
      <c r="C67" s="206">
        <f ca="1">C63-C66</f>
        <v>101176</v>
      </c>
      <c r="D67" s="199" t="s">
        <v>32</v>
      </c>
      <c r="E67" s="200"/>
      <c r="F67" s="2485"/>
      <c r="G67" s="2485"/>
      <c r="H67" s="2493"/>
      <c r="I67" s="137"/>
      <c r="J67" s="3160"/>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5666</v>
      </c>
      <c r="D68" s="210">
        <f>'数据-取费表'!B41</f>
        <v>5.6000000000000001E-2</v>
      </c>
      <c r="E68" s="211"/>
      <c r="F68" s="2485"/>
      <c r="G68" s="2485"/>
      <c r="H68" s="2493"/>
      <c r="I68" s="137"/>
      <c r="J68" s="3160"/>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101176</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607</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607</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100569</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165.68204283360791</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60129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101176</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607</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607</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100569</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165.68204283360791</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60129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比较法-办公</v>
      </c>
      <c r="D101" s="736" t="str">
        <f>D4</f>
        <v>收益法办公</v>
      </c>
      <c r="E101" s="3148" t="s">
        <v>2297</v>
      </c>
      <c r="F101" s="3130"/>
      <c r="G101" s="2516" t="s">
        <v>2298</v>
      </c>
      <c r="H101" s="1043">
        <f ca="1">H118</f>
        <v>106235</v>
      </c>
      <c r="I101" s="137"/>
    </row>
    <row r="102" spans="1:35" ht="18.75" customHeight="1">
      <c r="A102" s="3127" t="s">
        <v>2299</v>
      </c>
      <c r="B102" s="2516" t="s">
        <v>2298</v>
      </c>
      <c r="C102" s="735">
        <f ca="1">C19</f>
        <v>107805</v>
      </c>
      <c r="D102" s="736">
        <f ca="1">D19</f>
        <v>104665</v>
      </c>
      <c r="E102" s="3148"/>
      <c r="F102" s="3130"/>
      <c r="G102" s="2516" t="s">
        <v>2300</v>
      </c>
      <c r="H102" s="370">
        <f ca="1">I118</f>
        <v>44168</v>
      </c>
      <c r="I102" s="137"/>
    </row>
    <row r="103" spans="1:35" ht="42.75" customHeight="1">
      <c r="A103" s="3127"/>
      <c r="B103" s="2516" t="s">
        <v>2300</v>
      </c>
      <c r="C103" s="737">
        <f ca="1">C20</f>
        <v>44821</v>
      </c>
      <c r="D103" s="738">
        <f ca="1">D20</f>
        <v>43515</v>
      </c>
      <c r="E103" s="3149" t="s">
        <v>2301</v>
      </c>
      <c r="F103" s="3150"/>
      <c r="G103" s="2517" t="s">
        <v>2302</v>
      </c>
      <c r="H103" s="1043">
        <f>IF(D36="正常操作",H104+H105+H106,H105+H106)</f>
        <v>0</v>
      </c>
      <c r="I103" s="137"/>
    </row>
    <row r="104" spans="1:35" ht="18.75" customHeight="1">
      <c r="A104" s="3127" t="s">
        <v>2303</v>
      </c>
      <c r="B104" s="2518" t="s">
        <v>2298</v>
      </c>
      <c r="C104" s="739">
        <f ca="1">H118</f>
        <v>106235</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44168</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106235</v>
      </c>
      <c r="I107" s="137"/>
    </row>
    <row r="108" spans="1:35" ht="18.75" customHeight="1">
      <c r="A108" s="137"/>
      <c r="B108" s="137"/>
      <c r="C108" s="137"/>
      <c r="D108" s="137"/>
      <c r="E108" s="3129"/>
      <c r="F108" s="3130"/>
      <c r="G108" s="2516" t="s">
        <v>2300</v>
      </c>
      <c r="H108" s="370">
        <f ca="1">ROUND(H107*10000/'数据-汇总表'!E3,0)</f>
        <v>31239</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24052.409999999996</v>
      </c>
      <c r="C118" s="2939">
        <f>M19</f>
        <v>10622.88</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106235</v>
      </c>
      <c r="I118" s="2939">
        <f ca="1">ROUND(IF(D32="楼面单价",C32,H118*10000/B118),0)</f>
        <v>44168</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壹拾亿陆仟贰佰叁拾伍万元整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106235</v>
      </c>
      <c r="E122" s="3117"/>
      <c r="F122" s="3117"/>
      <c r="G122" s="3117"/>
      <c r="H122" s="3117"/>
      <c r="I122" s="3118"/>
    </row>
    <row r="123" spans="1:11" ht="18.75" customHeight="1">
      <c r="A123" s="3062" t="s">
        <v>2318</v>
      </c>
      <c r="B123" s="3062"/>
      <c r="C123" s="3062"/>
      <c r="D123" s="3111" t="str">
        <f ca="1">NUMBERSTRING(INT(D122*10000),2)&amp;"元整"</f>
        <v>壹拾亿陆仟贰佰叁拾伍万元整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12" sqref="C12"/>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27</v>
      </c>
      <c r="E1" s="1628"/>
      <c r="F1" s="2582" t="s">
        <v>3137</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107805</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44821</v>
      </c>
      <c r="C3" s="399" t="s">
        <v>2645</v>
      </c>
      <c r="D3" s="398">
        <f>IF(D1="",'数据-汇总表'!E3,SUMIF('数据-汇总表'!$C19:$C33,D1,'数据-汇总表'!$E19:$E33))</f>
        <v>24052.409999999996</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226" t="s">
        <v>2652</v>
      </c>
      <c r="Q4" s="3227"/>
      <c r="R4" s="3232" t="s">
        <v>2648</v>
      </c>
      <c r="S4" s="3233"/>
      <c r="T4" s="3232" t="s">
        <v>2649</v>
      </c>
      <c r="U4" s="3233"/>
      <c r="V4" s="3238" t="s">
        <v>2650</v>
      </c>
      <c r="W4" s="3238"/>
      <c r="X4" s="2668"/>
      <c r="Y4" s="3232" t="s">
        <v>2652</v>
      </c>
      <c r="Z4" s="3233"/>
      <c r="AA4" s="3250" t="s">
        <v>2648</v>
      </c>
      <c r="AB4" s="3250" t="s">
        <v>2649</v>
      </c>
      <c r="AC4" s="3219" t="s">
        <v>2650</v>
      </c>
    </row>
    <row r="5" spans="1:29" ht="15" customHeight="1">
      <c r="A5" s="403"/>
      <c r="B5" s="404"/>
      <c r="C5" s="3248" t="s">
        <v>2543</v>
      </c>
      <c r="D5" s="3249"/>
      <c r="E5" s="3242" t="s">
        <v>3070</v>
      </c>
      <c r="F5" s="3243"/>
      <c r="G5" s="3242" t="s">
        <v>3072</v>
      </c>
      <c r="H5" s="3243"/>
      <c r="I5" s="3242" t="s">
        <v>3071</v>
      </c>
      <c r="J5" s="3243"/>
      <c r="K5" s="609"/>
      <c r="L5" s="1128"/>
      <c r="M5" s="1129"/>
      <c r="N5" s="1129"/>
      <c r="O5" s="1129"/>
      <c r="P5" s="3228"/>
      <c r="Q5" s="3229"/>
      <c r="R5" s="3234"/>
      <c r="S5" s="3235"/>
      <c r="T5" s="3234"/>
      <c r="U5" s="3235"/>
      <c r="V5" s="3239"/>
      <c r="W5" s="3239"/>
      <c r="X5" s="1811"/>
      <c r="Y5" s="3234"/>
      <c r="Z5" s="3235"/>
      <c r="AA5" s="3251"/>
      <c r="AB5" s="3251"/>
      <c r="AC5" s="3220"/>
    </row>
    <row r="6" spans="1:29" ht="15.75" thickBot="1">
      <c r="A6" s="405"/>
      <c r="B6" s="406"/>
      <c r="C6" s="3240" t="s">
        <v>2547</v>
      </c>
      <c r="D6" s="3241"/>
      <c r="E6" s="3240" t="s">
        <v>2547</v>
      </c>
      <c r="F6" s="3241"/>
      <c r="G6" s="3240" t="s">
        <v>2547</v>
      </c>
      <c r="H6" s="3241"/>
      <c r="I6" s="3240" t="s">
        <v>2547</v>
      </c>
      <c r="J6" s="3241"/>
      <c r="K6" s="609" t="s">
        <v>2548</v>
      </c>
      <c r="L6" s="1128"/>
      <c r="M6" s="1129"/>
      <c r="N6" s="1129"/>
      <c r="O6" s="1129"/>
      <c r="P6" s="3230"/>
      <c r="Q6" s="3231"/>
      <c r="R6" s="3234"/>
      <c r="S6" s="3235"/>
      <c r="T6" s="3236"/>
      <c r="U6" s="3237"/>
      <c r="V6" s="3239"/>
      <c r="W6" s="3239"/>
      <c r="X6" s="1811"/>
      <c r="Y6" s="3236"/>
      <c r="Z6" s="3237"/>
      <c r="AA6" s="3252"/>
      <c r="AB6" s="3252"/>
      <c r="AC6" s="3221"/>
    </row>
    <row r="7" spans="1:29" s="116" customFormat="1" ht="15.75" thickBot="1">
      <c r="A7" s="407" t="s">
        <v>2549</v>
      </c>
      <c r="B7" s="408"/>
      <c r="C7" s="409">
        <f>'数据-取费表'!B2</f>
        <v>43236</v>
      </c>
      <c r="D7" s="410">
        <v>100</v>
      </c>
      <c r="E7" s="411">
        <v>43236</v>
      </c>
      <c r="F7" s="412">
        <f>SUMIF(59:59,YEAR(E7)&amp;"-"&amp;MONTH(E7),60:60)</f>
        <v>100</v>
      </c>
      <c r="G7" s="411">
        <v>43236</v>
      </c>
      <c r="H7" s="410">
        <f>SUMIF(59:59,YEAR(G7)&amp;"-"&amp;MONTH(G7),60:60)</f>
        <v>100</v>
      </c>
      <c r="I7" s="411">
        <v>43236</v>
      </c>
      <c r="J7" s="410">
        <f>SUMIF(59:59,YEAR(I7)&amp;"-"&amp;MONTH(I7),60:60)</f>
        <v>100</v>
      </c>
      <c r="K7" s="610"/>
      <c r="L7" s="1130"/>
      <c r="M7" s="1131"/>
      <c r="N7" s="1131"/>
      <c r="O7" s="1131"/>
      <c r="P7" s="3244" t="s">
        <v>2550</v>
      </c>
      <c r="Q7" s="3247"/>
      <c r="R7" s="769" t="s">
        <v>17</v>
      </c>
      <c r="S7" s="770">
        <f t="shared" ref="S7:S15" si="0">F7</f>
        <v>100</v>
      </c>
      <c r="T7" s="769" t="s">
        <v>17</v>
      </c>
      <c r="U7" s="770">
        <f t="shared" ref="U7:U15" si="1">H7</f>
        <v>100</v>
      </c>
      <c r="V7" s="769" t="s">
        <v>17</v>
      </c>
      <c r="W7" s="770">
        <f t="shared" ref="W7:W15" si="2">J7</f>
        <v>100</v>
      </c>
      <c r="X7" s="771"/>
      <c r="Y7" s="3246" t="s">
        <v>2550</v>
      </c>
      <c r="Z7" s="3245"/>
      <c r="AA7" s="772">
        <f>D7/F7</f>
        <v>1</v>
      </c>
      <c r="AB7" s="772">
        <f>D7/H7</f>
        <v>1</v>
      </c>
      <c r="AC7" s="2669">
        <f>D7/J7</f>
        <v>1</v>
      </c>
    </row>
    <row r="8" spans="1:29" s="116" customFormat="1" ht="15.75" thickBot="1">
      <c r="A8" s="407" t="s">
        <v>2551</v>
      </c>
      <c r="B8" s="408"/>
      <c r="C8" s="413" t="s">
        <v>2653</v>
      </c>
      <c r="D8" s="410">
        <v>100</v>
      </c>
      <c r="E8" s="413" t="s">
        <v>3073</v>
      </c>
      <c r="F8" s="412">
        <f>SUMIF(62:62,E8,63:63)-SUMIF(62:62,C8,63:63)+100</f>
        <v>100</v>
      </c>
      <c r="G8" s="413" t="s">
        <v>3073</v>
      </c>
      <c r="H8" s="410">
        <f>SUMIF(62:62,G8,63:63)-SUMIF(62:62,C8,63:63)+100</f>
        <v>100</v>
      </c>
      <c r="I8" s="413" t="s">
        <v>3073</v>
      </c>
      <c r="J8" s="410">
        <f>SUMIF(62:62,I8,63:63)-SUMIF(62:62,C8,63:63)+100</f>
        <v>100</v>
      </c>
      <c r="K8" s="610"/>
      <c r="L8" s="1130"/>
      <c r="M8" s="1131"/>
      <c r="N8" s="1131"/>
      <c r="O8" s="1131"/>
      <c r="P8" s="3244" t="s">
        <v>2553</v>
      </c>
      <c r="Q8" s="3245"/>
      <c r="R8" s="769" t="s">
        <v>17</v>
      </c>
      <c r="S8" s="770">
        <f t="shared" si="0"/>
        <v>100</v>
      </c>
      <c r="T8" s="769" t="s">
        <v>17</v>
      </c>
      <c r="U8" s="770">
        <f t="shared" si="1"/>
        <v>100</v>
      </c>
      <c r="V8" s="769" t="s">
        <v>17</v>
      </c>
      <c r="W8" s="770">
        <f t="shared" si="2"/>
        <v>100</v>
      </c>
      <c r="X8" s="771"/>
      <c r="Y8" s="3246" t="s">
        <v>2553</v>
      </c>
      <c r="Z8" s="3245"/>
      <c r="AA8" s="772">
        <f t="shared" ref="AA8:AA47" si="3">D8/F8</f>
        <v>1</v>
      </c>
      <c r="AB8" s="772">
        <f t="shared" ref="AB8:AB47" si="4">D8/H8</f>
        <v>1</v>
      </c>
      <c r="AC8" s="2669">
        <f t="shared" ref="AC8:AC47" si="5">D8/J8</f>
        <v>1</v>
      </c>
    </row>
    <row r="9" spans="1:29" s="116" customFormat="1">
      <c r="A9" s="414" t="s">
        <v>2554</v>
      </c>
      <c r="B9" s="70" t="s">
        <v>2555</v>
      </c>
      <c r="C9" s="2970" t="s">
        <v>3074</v>
      </c>
      <c r="D9" s="134">
        <v>100</v>
      </c>
      <c r="E9" s="2971" t="s">
        <v>3075</v>
      </c>
      <c r="F9" s="134">
        <f>SUMIF(64:64,E9,65:65)-SUMIF(64:64,C9,65:65)+100</f>
        <v>100</v>
      </c>
      <c r="G9" s="2972" t="s">
        <v>3074</v>
      </c>
      <c r="H9" s="134">
        <f>SUMIF(64:64,G9,65:65)-SUMIF(64:64,C9,65:65)+100</f>
        <v>100</v>
      </c>
      <c r="I9" s="2972" t="s">
        <v>3074</v>
      </c>
      <c r="J9" s="134">
        <f>SUMIF(64:64,I9,65:65)-SUMIF(64:64,C9,65:65)+100</f>
        <v>100</v>
      </c>
      <c r="K9" s="610"/>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2669">
        <f t="shared" si="5"/>
        <v>1</v>
      </c>
    </row>
    <row r="10" spans="1:29" s="426" customFormat="1" ht="27">
      <c r="A10" s="420"/>
      <c r="B10" s="421" t="s">
        <v>2558</v>
      </c>
      <c r="C10" s="422" t="s">
        <v>3076</v>
      </c>
      <c r="D10" s="135">
        <v>100</v>
      </c>
      <c r="E10" s="422" t="s">
        <v>3077</v>
      </c>
      <c r="F10" s="135">
        <f>SUMIF(66:66,E10,67:67)-SUMIF(66:66,C10,67:67)+100</f>
        <v>98</v>
      </c>
      <c r="G10" s="423" t="s">
        <v>3077</v>
      </c>
      <c r="H10" s="135">
        <f>SUMIF(66:66,G10,67:67)-SUMIF(66:66,C10,67:67)+100</f>
        <v>98</v>
      </c>
      <c r="I10" s="422" t="s">
        <v>3077</v>
      </c>
      <c r="J10" s="135">
        <f>SUMIF(66:66,I10,67:67)-SUMIF(66:66,C10,67:67)+100</f>
        <v>98</v>
      </c>
      <c r="K10" s="611">
        <v>2</v>
      </c>
      <c r="L10" s="1133"/>
      <c r="M10" s="1134"/>
      <c r="N10" s="1134"/>
      <c r="O10" s="1134"/>
      <c r="P10" s="3204"/>
      <c r="Q10" s="1793" t="str">
        <f t="shared" si="6"/>
        <v>土地使用年限（年）</v>
      </c>
      <c r="R10" s="769" t="s">
        <v>17</v>
      </c>
      <c r="S10" s="770">
        <f t="shared" si="0"/>
        <v>98</v>
      </c>
      <c r="T10" s="769" t="s">
        <v>17</v>
      </c>
      <c r="U10" s="770">
        <f t="shared" si="1"/>
        <v>98</v>
      </c>
      <c r="V10" s="769" t="s">
        <v>17</v>
      </c>
      <c r="W10" s="770">
        <f t="shared" si="2"/>
        <v>98</v>
      </c>
      <c r="X10" s="771"/>
      <c r="Y10" s="3062"/>
      <c r="Z10" s="54" t="str">
        <f t="shared" si="7"/>
        <v>土地使用年限（年）</v>
      </c>
      <c r="AA10" s="772">
        <f t="shared" si="3"/>
        <v>1.0204081632653061</v>
      </c>
      <c r="AB10" s="772">
        <f t="shared" si="4"/>
        <v>1.0204081632653061</v>
      </c>
      <c r="AC10" s="2669">
        <f t="shared" si="5"/>
        <v>1.0204081632653061</v>
      </c>
    </row>
    <row r="11" spans="1:29" ht="15">
      <c r="A11" s="427"/>
      <c r="B11" s="421" t="s">
        <v>2559</v>
      </c>
      <c r="C11" s="3010">
        <f>'数据-汇总表'!I5</f>
        <v>2.2599999999999998</v>
      </c>
      <c r="D11" s="135">
        <v>100</v>
      </c>
      <c r="E11" s="428">
        <v>1.9</v>
      </c>
      <c r="F11" s="135">
        <f>LOOKUP(E11,69:69,70:70)-LOOKUP(C11,69:69,70:70)+100</f>
        <v>102</v>
      </c>
      <c r="G11" s="429">
        <v>7.7</v>
      </c>
      <c r="H11" s="135">
        <f>LOOKUP(G11,69:69,70:70)-LOOKUP(C11,69:69,70:70)+100</f>
        <v>90</v>
      </c>
      <c r="I11" s="428">
        <v>2.5</v>
      </c>
      <c r="J11" s="135">
        <f>LOOKUP(I11,69:69,70:70)-LOOKUP(C11,69:69,70:70)+100</f>
        <v>100</v>
      </c>
      <c r="K11" s="611">
        <v>2</v>
      </c>
      <c r="L11" s="1136"/>
      <c r="M11" s="1129"/>
      <c r="N11" s="1129"/>
      <c r="O11" s="1129"/>
      <c r="P11" s="3204"/>
      <c r="Q11" s="1793" t="str">
        <f t="shared" si="6"/>
        <v>容积率</v>
      </c>
      <c r="R11" s="769" t="s">
        <v>17</v>
      </c>
      <c r="S11" s="770">
        <f t="shared" si="0"/>
        <v>102</v>
      </c>
      <c r="T11" s="769" t="s">
        <v>17</v>
      </c>
      <c r="U11" s="770">
        <f t="shared" si="1"/>
        <v>90</v>
      </c>
      <c r="V11" s="769" t="s">
        <v>17</v>
      </c>
      <c r="W11" s="770">
        <f t="shared" si="2"/>
        <v>100</v>
      </c>
      <c r="X11" s="771"/>
      <c r="Y11" s="3062"/>
      <c r="Z11" s="54" t="str">
        <f t="shared" si="7"/>
        <v>容积率</v>
      </c>
      <c r="AA11" s="772">
        <f t="shared" si="3"/>
        <v>0.98039215686274506</v>
      </c>
      <c r="AB11" s="772">
        <f t="shared" si="4"/>
        <v>1.1111111111111112</v>
      </c>
      <c r="AC11" s="2669">
        <f t="shared" si="5"/>
        <v>1</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04"/>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04"/>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04"/>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10" t="s">
        <v>2561</v>
      </c>
      <c r="Q15" s="1808" t="str">
        <f t="shared" si="6"/>
        <v>办公集聚程度</v>
      </c>
      <c r="R15" s="773" t="s">
        <v>17</v>
      </c>
      <c r="S15" s="774">
        <f t="shared" si="0"/>
        <v>100</v>
      </c>
      <c r="T15" s="773" t="s">
        <v>17</v>
      </c>
      <c r="U15" s="774">
        <f t="shared" si="1"/>
        <v>100</v>
      </c>
      <c r="V15" s="773" t="s">
        <v>17</v>
      </c>
      <c r="W15" s="774">
        <f t="shared" si="2"/>
        <v>100</v>
      </c>
      <c r="X15" s="1811"/>
      <c r="Y15" s="3212" t="s">
        <v>2561</v>
      </c>
      <c r="Z15" s="1812" t="str">
        <f t="shared" si="7"/>
        <v>办公集聚程度</v>
      </c>
      <c r="AA15" s="1809">
        <f t="shared" si="3"/>
        <v>1</v>
      </c>
      <c r="AB15" s="1809">
        <f t="shared" si="4"/>
        <v>1</v>
      </c>
      <c r="AC15" s="2672">
        <f t="shared" si="5"/>
        <v>1</v>
      </c>
    </row>
    <row r="16" spans="1:29" ht="15">
      <c r="A16" s="427"/>
      <c r="B16" s="629"/>
      <c r="C16" s="2976" t="s">
        <v>3120</v>
      </c>
      <c r="D16" s="447"/>
      <c r="E16" s="2977" t="s">
        <v>3119</v>
      </c>
      <c r="F16" s="447"/>
      <c r="G16" s="2976" t="s">
        <v>3119</v>
      </c>
      <c r="H16" s="449"/>
      <c r="I16" s="2977" t="s">
        <v>3119</v>
      </c>
      <c r="J16" s="447"/>
      <c r="K16" s="614"/>
      <c r="L16" s="1138"/>
      <c r="M16" s="1129"/>
      <c r="N16" s="1129"/>
      <c r="O16" s="1129"/>
      <c r="P16" s="3211"/>
      <c r="Q16" s="1808"/>
      <c r="R16" s="773"/>
      <c r="S16" s="774"/>
      <c r="T16" s="773"/>
      <c r="U16" s="774"/>
      <c r="V16" s="773"/>
      <c r="W16" s="774"/>
      <c r="X16" s="1811"/>
      <c r="Y16" s="3213"/>
      <c r="Z16" s="1812"/>
      <c r="AA16" s="1809">
        <v>1</v>
      </c>
      <c r="AB16" s="1809">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11"/>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2672">
        <f t="shared" si="5"/>
        <v>1</v>
      </c>
    </row>
    <row r="18" spans="1:29" ht="15">
      <c r="A18" s="427"/>
      <c r="B18" s="631"/>
      <c r="C18" s="2978" t="s">
        <v>3119</v>
      </c>
      <c r="D18" s="449"/>
      <c r="E18" s="2979" t="s">
        <v>3119</v>
      </c>
      <c r="F18" s="449"/>
      <c r="G18" s="2980" t="s">
        <v>3119</v>
      </c>
      <c r="H18" s="447"/>
      <c r="I18" s="2980" t="s">
        <v>3119</v>
      </c>
      <c r="J18" s="447"/>
      <c r="K18" s="614"/>
      <c r="L18" s="1138"/>
      <c r="M18" s="1129"/>
      <c r="N18" s="1129"/>
      <c r="O18" s="1129"/>
      <c r="P18" s="3211"/>
      <c r="Q18" s="1808"/>
      <c r="R18" s="773"/>
      <c r="S18" s="774"/>
      <c r="T18" s="773"/>
      <c r="U18" s="774"/>
      <c r="V18" s="773"/>
      <c r="W18" s="774"/>
      <c r="X18" s="1811"/>
      <c r="Y18" s="3213"/>
      <c r="Z18" s="1812"/>
      <c r="AA18" s="1809">
        <v>1</v>
      </c>
      <c r="AB18" s="1809">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11"/>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2672">
        <f t="shared" si="5"/>
        <v>1</v>
      </c>
    </row>
    <row r="20" spans="1:29" ht="15">
      <c r="A20" s="427"/>
      <c r="B20" s="631"/>
      <c r="C20" s="2976" t="s">
        <v>3119</v>
      </c>
      <c r="D20" s="447"/>
      <c r="E20" s="2981" t="s">
        <v>3119</v>
      </c>
      <c r="F20" s="447"/>
      <c r="G20" s="2982" t="s">
        <v>3119</v>
      </c>
      <c r="H20" s="447"/>
      <c r="I20" s="2982" t="s">
        <v>3119</v>
      </c>
      <c r="J20" s="447"/>
      <c r="K20" s="614"/>
      <c r="L20" s="1138"/>
      <c r="M20" s="1129"/>
      <c r="N20" s="1129"/>
      <c r="O20" s="1129"/>
      <c r="P20" s="3211"/>
      <c r="Q20" s="1808"/>
      <c r="R20" s="773"/>
      <c r="S20" s="774"/>
      <c r="T20" s="773"/>
      <c r="U20" s="774"/>
      <c r="V20" s="773"/>
      <c r="W20" s="774"/>
      <c r="X20" s="1811"/>
      <c r="Y20" s="3213"/>
      <c r="Z20" s="1812"/>
      <c r="AA20" s="1809">
        <v>1</v>
      </c>
      <c r="AB20" s="1809">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2672">
        <f t="shared" ref="AC21" si="10">D21/J21</f>
        <v>1</v>
      </c>
    </row>
    <row r="22" spans="1:29" ht="15">
      <c r="A22" s="427"/>
      <c r="B22" s="632"/>
      <c r="C22" s="2983" t="s">
        <v>3121</v>
      </c>
      <c r="D22" s="447"/>
      <c r="E22" s="2983" t="s">
        <v>3121</v>
      </c>
      <c r="F22" s="447"/>
      <c r="G22" s="2983" t="s">
        <v>3121</v>
      </c>
      <c r="H22" s="447"/>
      <c r="I22" s="2983" t="s">
        <v>3121</v>
      </c>
      <c r="J22" s="447"/>
      <c r="K22" s="1381"/>
      <c r="L22" s="1138"/>
      <c r="M22" s="1129"/>
      <c r="N22" s="1129"/>
      <c r="O22" s="1129"/>
      <c r="P22" s="3211"/>
      <c r="Q22" s="1808"/>
      <c r="R22" s="773"/>
      <c r="S22" s="774"/>
      <c r="T22" s="773"/>
      <c r="U22" s="774"/>
      <c r="V22" s="773"/>
      <c r="W22" s="774"/>
      <c r="X22" s="1811"/>
      <c r="Y22" s="3213"/>
      <c r="Z22" s="1812"/>
      <c r="AA22" s="1809">
        <v>1</v>
      </c>
      <c r="AB22" s="1809">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11"/>
      <c r="Q23" s="1808" t="str">
        <f>B23</f>
        <v>环境质量</v>
      </c>
      <c r="R23" s="773" t="s">
        <v>17</v>
      </c>
      <c r="S23" s="774">
        <f>F23</f>
        <v>100</v>
      </c>
      <c r="T23" s="773" t="s">
        <v>17</v>
      </c>
      <c r="U23" s="774">
        <f>H23</f>
        <v>100</v>
      </c>
      <c r="V23" s="773" t="s">
        <v>17</v>
      </c>
      <c r="W23" s="774">
        <f>J23</f>
        <v>100</v>
      </c>
      <c r="X23" s="1811"/>
      <c r="Y23" s="3213"/>
      <c r="Z23" s="1812" t="str">
        <f>Q23</f>
        <v>环境质量</v>
      </c>
      <c r="AA23" s="1809">
        <f t="shared" si="3"/>
        <v>1</v>
      </c>
      <c r="AB23" s="1809">
        <f t="shared" si="4"/>
        <v>1</v>
      </c>
      <c r="AC23" s="2672">
        <f t="shared" si="5"/>
        <v>1</v>
      </c>
    </row>
    <row r="24" spans="1:29" ht="15">
      <c r="A24" s="427"/>
      <c r="B24" s="632"/>
      <c r="C24" s="2978" t="s">
        <v>3119</v>
      </c>
      <c r="D24" s="447"/>
      <c r="E24" s="2978" t="s">
        <v>3119</v>
      </c>
      <c r="F24" s="447"/>
      <c r="G24" s="2978" t="s">
        <v>3119</v>
      </c>
      <c r="H24" s="447"/>
      <c r="I24" s="2978" t="s">
        <v>3119</v>
      </c>
      <c r="J24" s="447"/>
      <c r="K24" s="614"/>
      <c r="L24" s="1138"/>
      <c r="M24" s="1129"/>
      <c r="N24" s="1129"/>
      <c r="O24" s="1129"/>
      <c r="P24" s="3211"/>
      <c r="Q24" s="1808"/>
      <c r="R24" s="773"/>
      <c r="S24" s="774"/>
      <c r="T24" s="773"/>
      <c r="U24" s="774"/>
      <c r="V24" s="773"/>
      <c r="W24" s="774"/>
      <c r="X24" s="1811"/>
      <c r="Y24" s="3213"/>
      <c r="Z24" s="1812"/>
      <c r="AA24" s="1809">
        <v>1</v>
      </c>
      <c r="AB24" s="1809">
        <v>1</v>
      </c>
      <c r="AC24" s="2672">
        <v>1</v>
      </c>
    </row>
    <row r="25" spans="1:29" ht="27">
      <c r="A25" s="403"/>
      <c r="B25" s="630" t="s">
        <v>2692</v>
      </c>
      <c r="C25" s="2984" t="s">
        <v>3122</v>
      </c>
      <c r="D25" s="434">
        <v>100</v>
      </c>
      <c r="E25" s="2985" t="s">
        <v>3123</v>
      </c>
      <c r="F25" s="434">
        <f>SUMIF(87:87,E26,88:88)-SUMIF(87:87,C26,88:88)+100</f>
        <v>100</v>
      </c>
      <c r="G25" s="2985" t="s">
        <v>3125</v>
      </c>
      <c r="H25" s="434">
        <f>SUMIF(87:87,G26,88:88)-SUMIF(87:87,C26,88:88)+100</f>
        <v>100</v>
      </c>
      <c r="I25" s="2985" t="s">
        <v>3124</v>
      </c>
      <c r="J25" s="434">
        <f>SUMIF(87:87,I26,88:88)-SUMIF(87:87,C26,88:88)+100</f>
        <v>100</v>
      </c>
      <c r="K25" s="613">
        <v>1</v>
      </c>
      <c r="L25" s="1138"/>
      <c r="M25" s="1129"/>
      <c r="N25" s="1129"/>
      <c r="O25" s="1129"/>
      <c r="P25" s="3211"/>
      <c r="Q25" s="1808" t="str">
        <f>B25</f>
        <v>毗邻道路的类型与等级</v>
      </c>
      <c r="R25" s="773" t="s">
        <v>17</v>
      </c>
      <c r="S25" s="774">
        <f>F25</f>
        <v>100</v>
      </c>
      <c r="T25" s="773" t="s">
        <v>17</v>
      </c>
      <c r="U25" s="774">
        <f>H25</f>
        <v>100</v>
      </c>
      <c r="V25" s="773" t="s">
        <v>17</v>
      </c>
      <c r="W25" s="774">
        <f>J25</f>
        <v>100</v>
      </c>
      <c r="X25" s="1811"/>
      <c r="Y25" s="3213"/>
      <c r="Z25" s="1812" t="str">
        <f>Q25</f>
        <v>毗邻道路的类型与等级</v>
      </c>
      <c r="AA25" s="1809">
        <f t="shared" si="3"/>
        <v>1</v>
      </c>
      <c r="AB25" s="1809">
        <f t="shared" si="4"/>
        <v>1</v>
      </c>
      <c r="AC25" s="2672">
        <f t="shared" si="5"/>
        <v>1</v>
      </c>
    </row>
    <row r="26" spans="1:29" ht="15">
      <c r="A26" s="403"/>
      <c r="B26" s="631"/>
      <c r="C26" s="2986" t="s">
        <v>3126</v>
      </c>
      <c r="D26" s="434"/>
      <c r="E26" s="2986" t="s">
        <v>3126</v>
      </c>
      <c r="F26" s="434"/>
      <c r="G26" s="2986" t="s">
        <v>3126</v>
      </c>
      <c r="H26" s="434"/>
      <c r="I26" s="2986" t="s">
        <v>3126</v>
      </c>
      <c r="J26" s="434"/>
      <c r="K26" s="614"/>
      <c r="L26" s="1138"/>
      <c r="M26" s="1129"/>
      <c r="N26" s="1129"/>
      <c r="O26" s="1129"/>
      <c r="P26" s="3211"/>
      <c r="Q26" s="1808"/>
      <c r="R26" s="773"/>
      <c r="S26" s="774"/>
      <c r="T26" s="773"/>
      <c r="U26" s="774"/>
      <c r="V26" s="773"/>
      <c r="W26" s="774"/>
      <c r="X26" s="1811"/>
      <c r="Y26" s="3213"/>
      <c r="Z26" s="1812"/>
      <c r="AA26" s="1809">
        <v>1</v>
      </c>
      <c r="AB26" s="1809">
        <v>1</v>
      </c>
      <c r="AC26" s="2672">
        <v>1</v>
      </c>
    </row>
    <row r="27" spans="1:29" ht="15">
      <c r="A27" s="427"/>
      <c r="B27" s="631" t="s">
        <v>2660</v>
      </c>
      <c r="C27" s="633" t="s">
        <v>3127</v>
      </c>
      <c r="D27" s="434">
        <v>100</v>
      </c>
      <c r="E27" s="615" t="s">
        <v>3127</v>
      </c>
      <c r="F27" s="434">
        <f>SUMIF(89:89,E27,90:90)-SUMIF(89:89,C27,90:90)+100</f>
        <v>100</v>
      </c>
      <c r="G27" s="633" t="s">
        <v>3128</v>
      </c>
      <c r="H27" s="434">
        <f>SUMIF(89:89,G27,90:90)-SUMIF(89:89,C27,90:90)+100</f>
        <v>102</v>
      </c>
      <c r="I27" s="615" t="s">
        <v>3127</v>
      </c>
      <c r="J27" s="434">
        <f>SUMIF(89:89,I27,90:90)-SUMIF(89:89,C27,90:90)+100</f>
        <v>100</v>
      </c>
      <c r="K27" s="611">
        <v>2</v>
      </c>
      <c r="L27" s="1138"/>
      <c r="M27" s="1129"/>
      <c r="N27" s="1129"/>
      <c r="O27" s="1129"/>
      <c r="P27" s="3211"/>
      <c r="Q27" s="1808" t="str">
        <f t="shared" ref="Q27:Q47" si="11">B27</f>
        <v>楼层</v>
      </c>
      <c r="R27" s="773" t="s">
        <v>17</v>
      </c>
      <c r="S27" s="774">
        <f>F27</f>
        <v>100</v>
      </c>
      <c r="T27" s="773" t="s">
        <v>17</v>
      </c>
      <c r="U27" s="774">
        <f>H27</f>
        <v>102</v>
      </c>
      <c r="V27" s="773" t="s">
        <v>17</v>
      </c>
      <c r="W27" s="774">
        <f>J27</f>
        <v>100</v>
      </c>
      <c r="X27" s="1811"/>
      <c r="Y27" s="3213"/>
      <c r="Z27" s="1812" t="str">
        <f>Q27</f>
        <v>楼层</v>
      </c>
      <c r="AA27" s="1809">
        <f t="shared" si="3"/>
        <v>1</v>
      </c>
      <c r="AB27" s="1809">
        <f t="shared" si="4"/>
        <v>0.98039215686274506</v>
      </c>
      <c r="AC27" s="2672">
        <f t="shared" si="5"/>
        <v>1</v>
      </c>
    </row>
    <row r="28" spans="1:29" s="116" customFormat="1" ht="15">
      <c r="A28" s="430"/>
      <c r="B28" s="630" t="s">
        <v>2693</v>
      </c>
      <c r="C28" s="2674"/>
      <c r="D28" s="461">
        <v>100</v>
      </c>
      <c r="E28" s="2663"/>
      <c r="F28" s="461">
        <f>SUMIF(91:91,E28,92:92)-SUMIF(91:91,C28,92:92)+100</f>
        <v>100</v>
      </c>
      <c r="G28" s="2674"/>
      <c r="H28" s="461">
        <f>SUMIF(91:91,G28,92:92)-SUMIF(91:91,C28,92:92)+100</f>
        <v>100</v>
      </c>
      <c r="I28" s="2663"/>
      <c r="J28" s="461">
        <f>SUMIF(91:91,I28,92:92)-SUMIF(91:91,C28,92:92)+100</f>
        <v>100</v>
      </c>
      <c r="K28" s="611"/>
      <c r="L28" s="1130"/>
      <c r="M28" s="1131"/>
      <c r="N28" s="1131"/>
      <c r="O28" s="1131"/>
      <c r="P28" s="3211"/>
      <c r="Q28" s="1793" t="str">
        <f t="shared" si="11"/>
        <v>朝向</v>
      </c>
      <c r="R28" s="769" t="s">
        <v>17</v>
      </c>
      <c r="S28" s="770">
        <f>F28</f>
        <v>100</v>
      </c>
      <c r="T28" s="769" t="s">
        <v>17</v>
      </c>
      <c r="U28" s="770">
        <f>H28</f>
        <v>100</v>
      </c>
      <c r="V28" s="769" t="s">
        <v>17</v>
      </c>
      <c r="W28" s="770">
        <f>J28</f>
        <v>100</v>
      </c>
      <c r="X28" s="771"/>
      <c r="Y28" s="3213"/>
      <c r="Z28" s="54" t="str">
        <f>Q28</f>
        <v>朝向</v>
      </c>
      <c r="AA28" s="1809">
        <f>D28/F28</f>
        <v>1</v>
      </c>
      <c r="AB28" s="1809">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11"/>
      <c r="Q29" s="1808">
        <f t="shared" si="11"/>
        <v>111</v>
      </c>
      <c r="R29" s="773" t="s">
        <v>17</v>
      </c>
      <c r="S29" s="774">
        <f t="shared" ref="S29:S47" si="12">F29</f>
        <v>100</v>
      </c>
      <c r="T29" s="773" t="s">
        <v>17</v>
      </c>
      <c r="U29" s="774">
        <f t="shared" ref="U29:U47" si="13">H29</f>
        <v>100</v>
      </c>
      <c r="V29" s="773" t="s">
        <v>17</v>
      </c>
      <c r="W29" s="774">
        <f t="shared" ref="W29:W47" si="14">J29</f>
        <v>100</v>
      </c>
      <c r="X29" s="1811"/>
      <c r="Y29" s="3213"/>
      <c r="Z29" s="1812">
        <f t="shared" ref="Z29:Z47" si="15">Q29</f>
        <v>111</v>
      </c>
      <c r="AA29" s="1809">
        <f t="shared" si="3"/>
        <v>1</v>
      </c>
      <c r="AB29" s="1809">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11"/>
      <c r="Q30" s="1808">
        <f t="shared" si="11"/>
        <v>111</v>
      </c>
      <c r="R30" s="773" t="s">
        <v>17</v>
      </c>
      <c r="S30" s="774">
        <f t="shared" si="12"/>
        <v>100</v>
      </c>
      <c r="T30" s="773" t="s">
        <v>17</v>
      </c>
      <c r="U30" s="774">
        <f t="shared" si="13"/>
        <v>100</v>
      </c>
      <c r="V30" s="773" t="s">
        <v>17</v>
      </c>
      <c r="W30" s="774">
        <f t="shared" si="14"/>
        <v>100</v>
      </c>
      <c r="X30" s="1811"/>
      <c r="Y30" s="3213"/>
      <c r="Z30" s="1812">
        <f t="shared" si="15"/>
        <v>111</v>
      </c>
      <c r="AA30" s="1809">
        <f t="shared" si="3"/>
        <v>1</v>
      </c>
      <c r="AB30" s="1809">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11"/>
      <c r="Q31" s="1808">
        <f t="shared" si="11"/>
        <v>111</v>
      </c>
      <c r="R31" s="773" t="s">
        <v>17</v>
      </c>
      <c r="S31" s="774">
        <f t="shared" si="12"/>
        <v>100</v>
      </c>
      <c r="T31" s="773" t="s">
        <v>17</v>
      </c>
      <c r="U31" s="774">
        <f t="shared" si="13"/>
        <v>100</v>
      </c>
      <c r="V31" s="773" t="s">
        <v>17</v>
      </c>
      <c r="W31" s="774">
        <f t="shared" si="14"/>
        <v>100</v>
      </c>
      <c r="X31" s="1811"/>
      <c r="Y31" s="3213"/>
      <c r="Z31" s="1812">
        <f t="shared" si="15"/>
        <v>111</v>
      </c>
      <c r="AA31" s="1809">
        <f t="shared" si="3"/>
        <v>1</v>
      </c>
      <c r="AB31" s="1809">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11"/>
      <c r="Q32" s="1808">
        <f t="shared" si="11"/>
        <v>111</v>
      </c>
      <c r="R32" s="773" t="s">
        <v>17</v>
      </c>
      <c r="S32" s="774">
        <f t="shared" si="12"/>
        <v>100</v>
      </c>
      <c r="T32" s="773" t="s">
        <v>17</v>
      </c>
      <c r="U32" s="774">
        <f t="shared" si="13"/>
        <v>100</v>
      </c>
      <c r="V32" s="773" t="s">
        <v>17</v>
      </c>
      <c r="W32" s="774">
        <f t="shared" si="14"/>
        <v>100</v>
      </c>
      <c r="X32" s="1811"/>
      <c r="Y32" s="3213"/>
      <c r="Z32" s="1812">
        <f t="shared" si="15"/>
        <v>111</v>
      </c>
      <c r="AA32" s="1809">
        <f t="shared" si="3"/>
        <v>1</v>
      </c>
      <c r="AB32" s="1809">
        <f t="shared" si="4"/>
        <v>1</v>
      </c>
      <c r="AC32" s="2672">
        <f t="shared" si="5"/>
        <v>1</v>
      </c>
    </row>
    <row r="33" spans="1:29" ht="15">
      <c r="A33" s="439" t="s">
        <v>2564</v>
      </c>
      <c r="B33" s="70" t="s">
        <v>2694</v>
      </c>
      <c r="C33" s="2676" t="s">
        <v>3138</v>
      </c>
      <c r="D33" s="466">
        <v>100</v>
      </c>
      <c r="E33" s="2676" t="s">
        <v>3138</v>
      </c>
      <c r="F33" s="460">
        <f>SUMIF(101:101,E33,102:102)-SUMIF(101:101,C33,102:102)+100</f>
        <v>100</v>
      </c>
      <c r="G33" s="2676" t="s">
        <v>3138</v>
      </c>
      <c r="H33" s="434">
        <f>SUMIF(101:101,G33,102:102)-SUMIF(101:101,C33,102:102)+100</f>
        <v>100</v>
      </c>
      <c r="I33" s="2676" t="s">
        <v>3138</v>
      </c>
      <c r="J33" s="466">
        <f>SUMIF(101:101,I33,102:102)-SUMIF(101:101,C33,102:102)+100</f>
        <v>100</v>
      </c>
      <c r="K33" s="611">
        <v>1</v>
      </c>
      <c r="L33" s="1138"/>
      <c r="M33" s="1129"/>
      <c r="N33" s="1129"/>
      <c r="O33" s="1129"/>
      <c r="P33" s="3214" t="s">
        <v>2566</v>
      </c>
      <c r="Q33" s="1808" t="str">
        <f t="shared" si="11"/>
        <v>建筑类型</v>
      </c>
      <c r="R33" s="773" t="s">
        <v>17</v>
      </c>
      <c r="S33" s="774">
        <f t="shared" si="12"/>
        <v>100</v>
      </c>
      <c r="T33" s="773" t="s">
        <v>17</v>
      </c>
      <c r="U33" s="774">
        <f t="shared" si="13"/>
        <v>100</v>
      </c>
      <c r="V33" s="773" t="s">
        <v>17</v>
      </c>
      <c r="W33" s="774">
        <f t="shared" si="14"/>
        <v>100</v>
      </c>
      <c r="X33" s="1811"/>
      <c r="Y33" s="3217" t="s">
        <v>2566</v>
      </c>
      <c r="Z33" s="1812" t="str">
        <f t="shared" si="15"/>
        <v>建筑类型</v>
      </c>
      <c r="AA33" s="1809">
        <f t="shared" si="3"/>
        <v>1</v>
      </c>
      <c r="AB33" s="1809">
        <f t="shared" si="4"/>
        <v>1</v>
      </c>
      <c r="AC33" s="2672">
        <f t="shared" si="5"/>
        <v>1</v>
      </c>
    </row>
    <row r="34" spans="1:29" s="470" customFormat="1" ht="15">
      <c r="A34" s="467"/>
      <c r="B34" s="421" t="s">
        <v>2567</v>
      </c>
      <c r="C34" s="468">
        <v>21231.9</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15"/>
      <c r="Q34" s="775" t="str">
        <f t="shared" si="11"/>
        <v>项目建筑规模</v>
      </c>
      <c r="R34" s="776" t="s">
        <v>17</v>
      </c>
      <c r="S34" s="777">
        <f t="shared" si="12"/>
        <v>101</v>
      </c>
      <c r="T34" s="776" t="s">
        <v>17</v>
      </c>
      <c r="U34" s="777">
        <f t="shared" si="13"/>
        <v>101</v>
      </c>
      <c r="V34" s="776" t="s">
        <v>17</v>
      </c>
      <c r="W34" s="777">
        <f t="shared" si="14"/>
        <v>101</v>
      </c>
      <c r="X34" s="778"/>
      <c r="Y34" s="3217"/>
      <c r="Z34" s="779" t="str">
        <f t="shared" si="15"/>
        <v>项目建筑规模</v>
      </c>
      <c r="AA34" s="1809">
        <f t="shared" si="3"/>
        <v>0.99009900990099009</v>
      </c>
      <c r="AB34" s="1809">
        <f t="shared" si="4"/>
        <v>0.99009900990099009</v>
      </c>
      <c r="AC34" s="2672">
        <f t="shared" si="5"/>
        <v>0.99009900990099009</v>
      </c>
    </row>
    <row r="35" spans="1:29" ht="15">
      <c r="A35" s="471"/>
      <c r="B35" s="421" t="s">
        <v>2568</v>
      </c>
      <c r="C35" s="459" t="s">
        <v>3139</v>
      </c>
      <c r="D35" s="434">
        <v>100</v>
      </c>
      <c r="E35" s="459" t="s">
        <v>3139</v>
      </c>
      <c r="F35" s="460">
        <f>SUMIF(106:106,E35,107:107)-SUMIF(106:106,C35,107:107)+100</f>
        <v>100</v>
      </c>
      <c r="G35" s="459" t="s">
        <v>3139</v>
      </c>
      <c r="H35" s="434">
        <f>SUMIF(106:106,G35,107:107)-SUMIF(106:106,C35,107:107)+100</f>
        <v>100</v>
      </c>
      <c r="I35" s="459" t="s">
        <v>3139</v>
      </c>
      <c r="J35" s="434">
        <f>SUMIF(106:106,I35,107:107)-SUMIF(106:106,C35,107:107)+100</f>
        <v>100</v>
      </c>
      <c r="K35" s="611">
        <v>2</v>
      </c>
      <c r="L35" s="1138"/>
      <c r="M35" s="1129"/>
      <c r="N35" s="1129"/>
      <c r="O35" s="1129"/>
      <c r="P35" s="3215"/>
      <c r="Q35" s="1808" t="str">
        <f t="shared" si="11"/>
        <v>建筑结构</v>
      </c>
      <c r="R35" s="773" t="s">
        <v>17</v>
      </c>
      <c r="S35" s="774">
        <f t="shared" si="12"/>
        <v>100</v>
      </c>
      <c r="T35" s="773" t="s">
        <v>17</v>
      </c>
      <c r="U35" s="774">
        <f t="shared" si="13"/>
        <v>100</v>
      </c>
      <c r="V35" s="773" t="s">
        <v>17</v>
      </c>
      <c r="W35" s="774">
        <f t="shared" si="14"/>
        <v>100</v>
      </c>
      <c r="X35" s="1811"/>
      <c r="Y35" s="3217"/>
      <c r="Z35" s="1812" t="str">
        <f t="shared" si="15"/>
        <v>建筑结构</v>
      </c>
      <c r="AA35" s="1809">
        <f t="shared" si="3"/>
        <v>1</v>
      </c>
      <c r="AB35" s="1809">
        <f t="shared" si="4"/>
        <v>1</v>
      </c>
      <c r="AC35" s="2672">
        <f t="shared" si="5"/>
        <v>1</v>
      </c>
    </row>
    <row r="36" spans="1:29" ht="15">
      <c r="A36" s="471"/>
      <c r="B36" s="421" t="s">
        <v>2662</v>
      </c>
      <c r="C36" s="459" t="s">
        <v>3140</v>
      </c>
      <c r="D36" s="434">
        <v>100</v>
      </c>
      <c r="E36" s="459" t="s">
        <v>3140</v>
      </c>
      <c r="F36" s="460">
        <f>SUMIF(108:108,E36,109:109)-SUMIF(108:108,C36,109:109)+100</f>
        <v>100</v>
      </c>
      <c r="G36" s="459" t="s">
        <v>3140</v>
      </c>
      <c r="H36" s="434">
        <f>SUMIF(108:108,G36,109:109)-SUMIF(108:108,C36,109:109)+100</f>
        <v>100</v>
      </c>
      <c r="I36" s="459" t="s">
        <v>3140</v>
      </c>
      <c r="J36" s="434">
        <f>SUMIF(108:108,I36,109:109)-SUMIF(108:108,C36,109:109)+100</f>
        <v>100</v>
      </c>
      <c r="K36" s="611">
        <v>2</v>
      </c>
      <c r="L36" s="1138"/>
      <c r="M36" s="1129"/>
      <c r="N36" s="1129"/>
      <c r="O36" s="1129"/>
      <c r="P36" s="3215"/>
      <c r="Q36" s="1808" t="str">
        <f t="shared" si="11"/>
        <v>公共部分装修</v>
      </c>
      <c r="R36" s="773" t="s">
        <v>17</v>
      </c>
      <c r="S36" s="774">
        <f t="shared" si="12"/>
        <v>100</v>
      </c>
      <c r="T36" s="773" t="s">
        <v>17</v>
      </c>
      <c r="U36" s="774">
        <f t="shared" si="13"/>
        <v>100</v>
      </c>
      <c r="V36" s="773" t="s">
        <v>17</v>
      </c>
      <c r="W36" s="774">
        <f t="shared" si="14"/>
        <v>100</v>
      </c>
      <c r="X36" s="1811"/>
      <c r="Y36" s="3217"/>
      <c r="Z36" s="1812" t="str">
        <f t="shared" si="15"/>
        <v>公共部分装修</v>
      </c>
      <c r="AA36" s="1809">
        <f t="shared" si="3"/>
        <v>1</v>
      </c>
      <c r="AB36" s="1809">
        <f t="shared" si="4"/>
        <v>1</v>
      </c>
      <c r="AC36" s="2672">
        <f t="shared" si="5"/>
        <v>1</v>
      </c>
    </row>
    <row r="37" spans="1:29" ht="15">
      <c r="A37" s="471"/>
      <c r="B37" s="421" t="s">
        <v>2663</v>
      </c>
      <c r="C37" s="473">
        <v>0.93</v>
      </c>
      <c r="D37" s="434">
        <v>100</v>
      </c>
      <c r="E37" s="473">
        <v>0.77</v>
      </c>
      <c r="F37" s="460">
        <f>LOOKUP(E37,111:111,112:112)-LOOKUP(C37,111:111,112:112)+100</f>
        <v>96</v>
      </c>
      <c r="G37" s="473">
        <v>0.8</v>
      </c>
      <c r="H37" s="460">
        <f>LOOKUP(G37,111:111,112:112)-LOOKUP(C37,111:111,112:112)+100</f>
        <v>98</v>
      </c>
      <c r="I37" s="473">
        <v>0.75</v>
      </c>
      <c r="J37" s="434">
        <f>LOOKUP(I37,111:111,112:112)-LOOKUP(C37,111:111,112:112)+100</f>
        <v>96</v>
      </c>
      <c r="K37" s="611">
        <v>2</v>
      </c>
      <c r="L37" s="1138"/>
      <c r="M37" s="1129"/>
      <c r="N37" s="1129"/>
      <c r="O37" s="1129"/>
      <c r="P37" s="3215"/>
      <c r="Q37" s="1808" t="str">
        <f t="shared" si="11"/>
        <v>成新度</v>
      </c>
      <c r="R37" s="773" t="s">
        <v>17</v>
      </c>
      <c r="S37" s="774">
        <f t="shared" si="12"/>
        <v>96</v>
      </c>
      <c r="T37" s="773" t="s">
        <v>17</v>
      </c>
      <c r="U37" s="774">
        <f t="shared" si="13"/>
        <v>98</v>
      </c>
      <c r="V37" s="773" t="s">
        <v>17</v>
      </c>
      <c r="W37" s="774">
        <f t="shared" si="14"/>
        <v>96</v>
      </c>
      <c r="X37" s="1811"/>
      <c r="Y37" s="3217"/>
      <c r="Z37" s="1812" t="str">
        <f t="shared" si="15"/>
        <v>成新度</v>
      </c>
      <c r="AA37" s="1809">
        <f t="shared" si="3"/>
        <v>1.0416666666666667</v>
      </c>
      <c r="AB37" s="1809">
        <f t="shared" si="4"/>
        <v>1.0204081632653061</v>
      </c>
      <c r="AC37" s="2672">
        <f t="shared" si="5"/>
        <v>1.0416666666666667</v>
      </c>
    </row>
    <row r="38" spans="1:29" s="116" customFormat="1" ht="15">
      <c r="A38" s="472"/>
      <c r="B38" s="421" t="s">
        <v>2695</v>
      </c>
      <c r="C38" s="2990" t="s">
        <v>3141</v>
      </c>
      <c r="D38" s="135">
        <v>100</v>
      </c>
      <c r="E38" s="2990" t="s">
        <v>3141</v>
      </c>
      <c r="F38" s="460">
        <f>SUMIF(113:113,E38,114:114)-SUMIF(113:113,C38,114:114)+100</f>
        <v>100</v>
      </c>
      <c r="G38" s="2990" t="s">
        <v>3141</v>
      </c>
      <c r="H38" s="434">
        <f>SUMIF(113:113,G38,114:114)-SUMIF(113:113,C38,114:114)+100</f>
        <v>100</v>
      </c>
      <c r="I38" s="2990" t="s">
        <v>3141</v>
      </c>
      <c r="J38" s="434">
        <f>SUMIF(113:113,I38,114:114)-SUMIF(113:113,C38,114:114)+100</f>
        <v>100</v>
      </c>
      <c r="K38" s="611">
        <v>1</v>
      </c>
      <c r="L38" s="1130"/>
      <c r="M38" s="1131"/>
      <c r="N38" s="1131"/>
      <c r="O38" s="1131"/>
      <c r="P38" s="3215"/>
      <c r="Q38" s="1793" t="str">
        <f t="shared" si="11"/>
        <v>写字楼等级</v>
      </c>
      <c r="R38" s="769" t="s">
        <v>17</v>
      </c>
      <c r="S38" s="770">
        <f t="shared" si="12"/>
        <v>100</v>
      </c>
      <c r="T38" s="769" t="s">
        <v>17</v>
      </c>
      <c r="U38" s="770">
        <f t="shared" si="13"/>
        <v>100</v>
      </c>
      <c r="V38" s="769" t="s">
        <v>17</v>
      </c>
      <c r="W38" s="770">
        <f t="shared" si="14"/>
        <v>100</v>
      </c>
      <c r="X38" s="771"/>
      <c r="Y38" s="3217"/>
      <c r="Z38" s="54" t="str">
        <f t="shared" si="15"/>
        <v>写字楼等级</v>
      </c>
      <c r="AA38" s="772">
        <f t="shared" si="3"/>
        <v>1</v>
      </c>
      <c r="AB38" s="772">
        <f t="shared" si="4"/>
        <v>1</v>
      </c>
      <c r="AC38" s="2669">
        <f t="shared" si="5"/>
        <v>1</v>
      </c>
    </row>
    <row r="39" spans="1:29" ht="15">
      <c r="A39" s="471"/>
      <c r="B39" s="421" t="s">
        <v>2696</v>
      </c>
      <c r="C39" s="2990" t="s">
        <v>3142</v>
      </c>
      <c r="D39" s="434">
        <v>100</v>
      </c>
      <c r="E39" s="2990" t="s">
        <v>3142</v>
      </c>
      <c r="F39" s="460">
        <f>SUMIF(115:115,E39,116:116)-SUMIF(115:115,C39,116:116)+100</f>
        <v>100</v>
      </c>
      <c r="G39" s="2990" t="s">
        <v>3142</v>
      </c>
      <c r="H39" s="434">
        <f>SUMIF(115:115,G39,116:116)-SUMIF(115:115,C39,116:116)+100</f>
        <v>100</v>
      </c>
      <c r="I39" s="2990" t="s">
        <v>3142</v>
      </c>
      <c r="J39" s="434">
        <f>SUMIF(115:115,I39,116:116)-SUMIF(115:115,C39,116:116)+100</f>
        <v>100</v>
      </c>
      <c r="K39" s="611">
        <v>1</v>
      </c>
      <c r="L39" s="1138"/>
      <c r="M39" s="1129"/>
      <c r="N39" s="1129"/>
      <c r="O39" s="1129"/>
      <c r="P39" s="3215" t="s">
        <v>2566</v>
      </c>
      <c r="Q39" s="1808" t="str">
        <f t="shared" si="11"/>
        <v>物业管理</v>
      </c>
      <c r="R39" s="773" t="s">
        <v>17</v>
      </c>
      <c r="S39" s="774">
        <f t="shared" si="12"/>
        <v>100</v>
      </c>
      <c r="T39" s="773" t="s">
        <v>17</v>
      </c>
      <c r="U39" s="774">
        <f t="shared" si="13"/>
        <v>100</v>
      </c>
      <c r="V39" s="773" t="s">
        <v>17</v>
      </c>
      <c r="W39" s="774">
        <f t="shared" si="14"/>
        <v>100</v>
      </c>
      <c r="X39" s="1811"/>
      <c r="Y39" s="3217" t="s">
        <v>2566</v>
      </c>
      <c r="Z39" s="1812" t="str">
        <f t="shared" si="15"/>
        <v>物业管理</v>
      </c>
      <c r="AA39" s="1809">
        <f t="shared" si="3"/>
        <v>1</v>
      </c>
      <c r="AB39" s="1809">
        <f t="shared" si="4"/>
        <v>1</v>
      </c>
      <c r="AC39" s="2672">
        <f t="shared" si="5"/>
        <v>1</v>
      </c>
    </row>
    <row r="40" spans="1:29" ht="15">
      <c r="A40" s="471"/>
      <c r="B40" s="421" t="s">
        <v>2664</v>
      </c>
      <c r="C40" s="2990" t="s">
        <v>3143</v>
      </c>
      <c r="D40" s="434">
        <v>100</v>
      </c>
      <c r="E40" s="2990" t="s">
        <v>3143</v>
      </c>
      <c r="F40" s="460">
        <f>SUMIF(117:117,E40,118:118)-SUMIF(117:117,C40,118:118)+100</f>
        <v>100</v>
      </c>
      <c r="G40" s="2990" t="s">
        <v>3143</v>
      </c>
      <c r="H40" s="434">
        <f>SUMIF(117:117,G40,118:118)-SUMIF(117:117,C40,118:118)+100</f>
        <v>100</v>
      </c>
      <c r="I40" s="2990" t="s">
        <v>3143</v>
      </c>
      <c r="J40" s="434">
        <f>SUMIF(117:117,I40,118:118)-SUMIF(117:117,C40,118:118)+100</f>
        <v>100</v>
      </c>
      <c r="K40" s="611">
        <v>1</v>
      </c>
      <c r="L40" s="1138"/>
      <c r="M40" s="1129"/>
      <c r="N40" s="1129"/>
      <c r="O40" s="1129"/>
      <c r="P40" s="3215"/>
      <c r="Q40" s="1808" t="str">
        <f t="shared" si="11"/>
        <v>市政基础设施</v>
      </c>
      <c r="R40" s="773" t="s">
        <v>17</v>
      </c>
      <c r="S40" s="774">
        <f t="shared" si="12"/>
        <v>100</v>
      </c>
      <c r="T40" s="773" t="s">
        <v>17</v>
      </c>
      <c r="U40" s="774">
        <f t="shared" si="13"/>
        <v>100</v>
      </c>
      <c r="V40" s="773" t="s">
        <v>17</v>
      </c>
      <c r="W40" s="774">
        <f t="shared" si="14"/>
        <v>100</v>
      </c>
      <c r="X40" s="1811"/>
      <c r="Y40" s="3217"/>
      <c r="Z40" s="1812" t="str">
        <f t="shared" si="15"/>
        <v>市政基础设施</v>
      </c>
      <c r="AA40" s="1809">
        <f t="shared" si="3"/>
        <v>1</v>
      </c>
      <c r="AB40" s="1809">
        <f t="shared" si="4"/>
        <v>1</v>
      </c>
      <c r="AC40" s="2672">
        <f t="shared" si="5"/>
        <v>1</v>
      </c>
    </row>
    <row r="41" spans="1:29" ht="15">
      <c r="A41" s="471"/>
      <c r="B41" s="421" t="s">
        <v>2666</v>
      </c>
      <c r="C41" s="2991" t="s">
        <v>3144</v>
      </c>
      <c r="D41" s="434">
        <v>100</v>
      </c>
      <c r="E41" s="2991" t="s">
        <v>3144</v>
      </c>
      <c r="F41" s="460">
        <f>SUMIF(119:119,E41,120:120)-SUMIF(119:119,C41,120:120)+100</f>
        <v>100</v>
      </c>
      <c r="G41" s="2991" t="s">
        <v>3144</v>
      </c>
      <c r="H41" s="434">
        <f>SUMIF(119:119,G41,120:120)-SUMIF(119:119,C41,120:120)+100</f>
        <v>100</v>
      </c>
      <c r="I41" s="2991" t="s">
        <v>3144</v>
      </c>
      <c r="J41" s="434">
        <f>SUMIF(119:119,I41,120:120)-SUMIF(119:119,C41,120:120)+100</f>
        <v>100</v>
      </c>
      <c r="K41" s="611">
        <v>2</v>
      </c>
      <c r="L41" s="1138"/>
      <c r="M41" s="1129"/>
      <c r="N41" s="1129"/>
      <c r="O41" s="1129"/>
      <c r="P41" s="3215"/>
      <c r="Q41" s="1808" t="str">
        <f t="shared" si="11"/>
        <v>层高</v>
      </c>
      <c r="R41" s="773" t="s">
        <v>17</v>
      </c>
      <c r="S41" s="774">
        <f t="shared" si="12"/>
        <v>100</v>
      </c>
      <c r="T41" s="773" t="s">
        <v>17</v>
      </c>
      <c r="U41" s="774">
        <f t="shared" si="13"/>
        <v>100</v>
      </c>
      <c r="V41" s="773" t="s">
        <v>17</v>
      </c>
      <c r="W41" s="774">
        <f t="shared" si="14"/>
        <v>100</v>
      </c>
      <c r="X41" s="1811"/>
      <c r="Y41" s="3217"/>
      <c r="Z41" s="1812" t="str">
        <f t="shared" si="15"/>
        <v>层高</v>
      </c>
      <c r="AA41" s="1809">
        <f t="shared" si="3"/>
        <v>1</v>
      </c>
      <c r="AB41" s="1809">
        <f t="shared" si="4"/>
        <v>1</v>
      </c>
      <c r="AC41" s="2672">
        <f t="shared" si="5"/>
        <v>1</v>
      </c>
    </row>
    <row r="42" spans="1:29" s="470" customFormat="1" ht="15">
      <c r="A42" s="467"/>
      <c r="B42" s="1810"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09">
        <f t="shared" si="3"/>
        <v>1</v>
      </c>
      <c r="AB42" s="1809">
        <f t="shared" si="4"/>
        <v>1</v>
      </c>
      <c r="AC42" s="2672">
        <f t="shared" si="5"/>
        <v>1</v>
      </c>
    </row>
    <row r="43" spans="1:29" ht="15">
      <c r="A43" s="471"/>
      <c r="B43" s="421" t="s">
        <v>2669</v>
      </c>
      <c r="C43" s="2990" t="s">
        <v>3145</v>
      </c>
      <c r="D43" s="434">
        <v>100</v>
      </c>
      <c r="E43" s="2990" t="s">
        <v>3140</v>
      </c>
      <c r="F43" s="460">
        <f>SUMIF(123:123,E43,124:124)-SUMIF(123:123,C43,124:124)+100</f>
        <v>102</v>
      </c>
      <c r="G43" s="2990" t="s">
        <v>3140</v>
      </c>
      <c r="H43" s="434">
        <f>SUMIF(123:123,G43,124:124)-SUMIF(123:123,C43,124:124)+100</f>
        <v>102</v>
      </c>
      <c r="I43" s="2990" t="s">
        <v>3140</v>
      </c>
      <c r="J43" s="434">
        <f>SUMIF(123:123,I43,124:124)-SUMIF(123:123,C43,124:124)+100</f>
        <v>102</v>
      </c>
      <c r="K43" s="611">
        <v>2</v>
      </c>
      <c r="L43" s="1138"/>
      <c r="M43" s="1129"/>
      <c r="N43" s="1129"/>
      <c r="O43" s="1129"/>
      <c r="P43" s="3215"/>
      <c r="Q43" s="1808" t="str">
        <f t="shared" si="11"/>
        <v>内部装修</v>
      </c>
      <c r="R43" s="773" t="s">
        <v>17</v>
      </c>
      <c r="S43" s="774">
        <f t="shared" si="12"/>
        <v>102</v>
      </c>
      <c r="T43" s="773" t="s">
        <v>17</v>
      </c>
      <c r="U43" s="774">
        <f t="shared" si="13"/>
        <v>102</v>
      </c>
      <c r="V43" s="773" t="s">
        <v>17</v>
      </c>
      <c r="W43" s="774">
        <f t="shared" si="14"/>
        <v>102</v>
      </c>
      <c r="X43" s="1811"/>
      <c r="Y43" s="3217"/>
      <c r="Z43" s="1812" t="str">
        <f t="shared" si="15"/>
        <v>内部装修</v>
      </c>
      <c r="AA43" s="1809">
        <f t="shared" si="3"/>
        <v>0.98039215686274506</v>
      </c>
      <c r="AB43" s="1809">
        <f t="shared" si="4"/>
        <v>0.98039215686274506</v>
      </c>
      <c r="AC43" s="2672">
        <f t="shared" si="5"/>
        <v>0.98039215686274506</v>
      </c>
    </row>
    <row r="44" spans="1:29" ht="15">
      <c r="A44" s="471"/>
      <c r="B44" s="421" t="s">
        <v>2577</v>
      </c>
      <c r="C44" s="2990" t="s">
        <v>3119</v>
      </c>
      <c r="D44" s="434">
        <v>100</v>
      </c>
      <c r="E44" s="2992" t="s">
        <v>3119</v>
      </c>
      <c r="F44" s="460">
        <f>SUMIF(125:125,E44,126:126)-SUMIF(125:125,C44,126:126)+100</f>
        <v>100</v>
      </c>
      <c r="G44" s="2992" t="s">
        <v>3119</v>
      </c>
      <c r="H44" s="434">
        <f>SUMIF(125:125,G44,126:126)-SUMIF(125:125,C44,126:126)+100</f>
        <v>100</v>
      </c>
      <c r="I44" s="2992" t="s">
        <v>3119</v>
      </c>
      <c r="J44" s="434">
        <f>SUMIF(125:125,I44,126:126)-SUMIF(125:125,C44,126:126)+100</f>
        <v>100</v>
      </c>
      <c r="K44" s="611">
        <v>2</v>
      </c>
      <c r="L44" s="1138"/>
      <c r="M44" s="1129"/>
      <c r="N44" s="1129"/>
      <c r="O44" s="1129"/>
      <c r="P44" s="3215"/>
      <c r="Q44" s="1808" t="str">
        <f t="shared" si="11"/>
        <v>内部装修维护情况</v>
      </c>
      <c r="R44" s="773" t="s">
        <v>17</v>
      </c>
      <c r="S44" s="774">
        <f t="shared" si="12"/>
        <v>100</v>
      </c>
      <c r="T44" s="773" t="s">
        <v>17</v>
      </c>
      <c r="U44" s="774">
        <f t="shared" si="13"/>
        <v>100</v>
      </c>
      <c r="V44" s="773" t="s">
        <v>17</v>
      </c>
      <c r="W44" s="774">
        <f t="shared" si="14"/>
        <v>100</v>
      </c>
      <c r="X44" s="1811"/>
      <c r="Y44" s="3217"/>
      <c r="Z44" s="1812" t="str">
        <f t="shared" si="15"/>
        <v>内部装修维护情况</v>
      </c>
      <c r="AA44" s="1809">
        <f t="shared" si="3"/>
        <v>1</v>
      </c>
      <c r="AB44" s="1809">
        <f t="shared" si="4"/>
        <v>1</v>
      </c>
      <c r="AC44" s="2672">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5"/>
      <c r="Q45" s="1793">
        <f t="shared" si="11"/>
        <v>111</v>
      </c>
      <c r="R45" s="769" t="s">
        <v>17</v>
      </c>
      <c r="S45" s="770">
        <f t="shared" si="12"/>
        <v>100</v>
      </c>
      <c r="T45" s="769" t="s">
        <v>17</v>
      </c>
      <c r="U45" s="770">
        <f t="shared" si="13"/>
        <v>100</v>
      </c>
      <c r="V45" s="769" t="s">
        <v>17</v>
      </c>
      <c r="W45" s="770">
        <f t="shared" si="14"/>
        <v>100</v>
      </c>
      <c r="X45" s="771"/>
      <c r="Y45" s="3217"/>
      <c r="Z45" s="54">
        <f t="shared" si="15"/>
        <v>111</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5"/>
      <c r="Q46" s="1808">
        <f t="shared" si="11"/>
        <v>111</v>
      </c>
      <c r="R46" s="773" t="s">
        <v>17</v>
      </c>
      <c r="S46" s="774">
        <f t="shared" si="12"/>
        <v>100</v>
      </c>
      <c r="T46" s="773" t="s">
        <v>17</v>
      </c>
      <c r="U46" s="774">
        <f t="shared" si="13"/>
        <v>100</v>
      </c>
      <c r="V46" s="773" t="s">
        <v>17</v>
      </c>
      <c r="W46" s="774">
        <f t="shared" si="14"/>
        <v>100</v>
      </c>
      <c r="X46" s="1811"/>
      <c r="Y46" s="3217"/>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6"/>
      <c r="Q47" s="1808">
        <f t="shared" si="11"/>
        <v>111</v>
      </c>
      <c r="R47" s="773" t="s">
        <v>17</v>
      </c>
      <c r="S47" s="774">
        <f t="shared" si="12"/>
        <v>100</v>
      </c>
      <c r="T47" s="773" t="s">
        <v>17</v>
      </c>
      <c r="U47" s="774">
        <f t="shared" si="13"/>
        <v>100</v>
      </c>
      <c r="V47" s="773" t="s">
        <v>17</v>
      </c>
      <c r="W47" s="774">
        <f t="shared" si="14"/>
        <v>100</v>
      </c>
      <c r="X47" s="1811"/>
      <c r="Y47" s="3218"/>
      <c r="Z47" s="1812">
        <f t="shared" si="15"/>
        <v>111</v>
      </c>
      <c r="AA47" s="1809">
        <f t="shared" si="3"/>
        <v>1</v>
      </c>
      <c r="AB47" s="1809">
        <f t="shared" si="4"/>
        <v>1</v>
      </c>
      <c r="AC47" s="2672">
        <f t="shared" si="5"/>
        <v>1</v>
      </c>
    </row>
    <row r="48" spans="1:29" ht="15">
      <c r="A48" s="478" t="s">
        <v>2578</v>
      </c>
      <c r="B48" s="479"/>
      <c r="C48" s="1405" t="s">
        <v>1</v>
      </c>
      <c r="D48" s="1406"/>
      <c r="E48" s="3011">
        <v>42473</v>
      </c>
      <c r="F48" s="1408"/>
      <c r="G48" s="3012">
        <v>40000</v>
      </c>
      <c r="H48" s="1410"/>
      <c r="I48" s="3011">
        <v>46000</v>
      </c>
      <c r="J48" s="484"/>
      <c r="K48" s="782"/>
      <c r="L48" s="1141"/>
      <c r="M48" s="1129"/>
      <c r="N48" s="1129"/>
      <c r="O48" s="1129"/>
      <c r="P48" s="3204" t="str">
        <f>A48</f>
        <v>成交单价（元/平方米）</v>
      </c>
      <c r="Q48" s="3205"/>
      <c r="R48" s="3206">
        <f>E48</f>
        <v>42473</v>
      </c>
      <c r="S48" s="3206"/>
      <c r="T48" s="3206">
        <f>G48</f>
        <v>40000</v>
      </c>
      <c r="U48" s="3206"/>
      <c r="V48" s="3206">
        <f>I48</f>
        <v>46000</v>
      </c>
      <c r="W48" s="3206"/>
      <c r="X48" s="445"/>
      <c r="Y48" s="780"/>
      <c r="Z48" s="445"/>
      <c r="AA48" s="445"/>
      <c r="AB48" s="445"/>
      <c r="AC48" s="629"/>
    </row>
    <row r="49" spans="1:29" ht="15.75" thickBot="1">
      <c r="A49" s="485" t="s">
        <v>2670</v>
      </c>
      <c r="B49" s="486"/>
      <c r="C49" s="1411">
        <f>R50</f>
        <v>44821</v>
      </c>
      <c r="D49" s="1412"/>
      <c r="E49" s="1413">
        <f>R49</f>
        <v>42963</v>
      </c>
      <c r="F49" s="1413"/>
      <c r="G49" s="1411">
        <f>T49</f>
        <v>44040</v>
      </c>
      <c r="H49" s="1412"/>
      <c r="I49" s="1413">
        <f>V49</f>
        <v>47461</v>
      </c>
      <c r="J49" s="488"/>
      <c r="K49" s="783"/>
      <c r="L49" s="1141"/>
      <c r="M49" s="1129"/>
      <c r="N49" s="1129"/>
      <c r="O49" s="1129"/>
      <c r="P49" s="3204" t="str">
        <f>A49</f>
        <v>比较价值（元/平方米）</v>
      </c>
      <c r="Q49" s="3205"/>
      <c r="R49" s="3206">
        <f>IF(F1="售价",ROUND(PRODUCT(R48,AA7:AA47),0),ROUND(PRODUCT(R48,AA7:AA47),1))</f>
        <v>42963</v>
      </c>
      <c r="S49" s="3206"/>
      <c r="T49" s="3206">
        <f>IF(F1="售价",ROUND(PRODUCT(T48,AB7:AB47),0),ROUND(PRODUCT(T48,AB7:AB47),1))</f>
        <v>44040</v>
      </c>
      <c r="U49" s="3206"/>
      <c r="V49" s="3206">
        <f>IF(F1="售价",ROUND(PRODUCT(V48,AC7:AC47),0),ROUND(PRODUCT(V48,AC7:AC47),1))</f>
        <v>47461</v>
      </c>
      <c r="W49" s="3206"/>
      <c r="X49" s="445"/>
      <c r="Y49" s="445"/>
      <c r="Z49" s="445"/>
      <c r="AA49" s="445"/>
      <c r="AB49" s="445"/>
      <c r="AC49" s="629"/>
    </row>
    <row r="50" spans="1:29" ht="15.75" thickBot="1">
      <c r="A50" s="491" t="s">
        <v>2671</v>
      </c>
      <c r="B50" s="492"/>
      <c r="C50" s="1415">
        <f>R50</f>
        <v>44821</v>
      </c>
      <c r="D50" s="1415"/>
      <c r="E50" s="1415"/>
      <c r="F50" s="1415"/>
      <c r="G50" s="1415"/>
      <c r="H50" s="1415"/>
      <c r="I50" s="1415"/>
      <c r="J50" s="493"/>
      <c r="K50" s="784"/>
      <c r="L50" s="1141"/>
      <c r="M50" s="1129"/>
      <c r="N50" s="1129"/>
      <c r="O50" s="1129"/>
      <c r="P50" s="3207" t="str">
        <f>A50</f>
        <v>估价对象XX用房的比较价值（楼面单价，元/平方米）</v>
      </c>
      <c r="Q50" s="3208"/>
      <c r="R50" s="3209">
        <f>IF(F1="售价",ROUND(AVERAGE(R49:V49),0),ROUND(AVERAGE(R49:V49),1))</f>
        <v>44821</v>
      </c>
      <c r="S50" s="3209"/>
      <c r="T50" s="3209"/>
      <c r="U50" s="3209"/>
      <c r="V50" s="3209"/>
      <c r="W50" s="3209"/>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f>IF(E48&lt;E49,E49/E48-1,E48/E49-1)</f>
        <v>1.1536740988392635E-2</v>
      </c>
      <c r="F53" s="499" t="str">
        <f>IF(OR(E53&gt;=0.3,E53&lt;=-0.3),"超过30%","")</f>
        <v/>
      </c>
      <c r="G53" s="498">
        <f>IF(G48&lt;G49,G49/G48-1,G48/G49-1)</f>
        <v>0.10099999999999998</v>
      </c>
      <c r="H53" s="499" t="str">
        <f>IF(OR(G53&gt;=0.3,G53&lt;=-0.3),"超过30%","")</f>
        <v/>
      </c>
      <c r="I53" s="498">
        <f>IF(I48&lt;I49,I49/I48-1,I48/I49-1)</f>
        <v>3.1760869565217398E-2</v>
      </c>
      <c r="J53" s="499" t="str">
        <f>IF(OR(I53&gt;=0.3,I53&lt;=-0.3),"超过30%","")</f>
        <v/>
      </c>
      <c r="K53" s="1103"/>
      <c r="L53" s="1104"/>
      <c r="M53" s="1142"/>
      <c r="N53" s="1142"/>
      <c r="O53" s="1142"/>
    </row>
    <row r="54" spans="1:29" ht="13.5" customHeight="1">
      <c r="A54" s="1142"/>
      <c r="B54" s="1142"/>
      <c r="C54" s="496" t="s">
        <v>2673</v>
      </c>
      <c r="D54" s="500"/>
      <c r="E54" s="498">
        <f>IF(E49&lt;G49,G49/E49-1,E49/G49-1)</f>
        <v>2.5068081837860579E-2</v>
      </c>
      <c r="F54" s="499" t="str">
        <f>IF(OR(E54&gt;=0.2,E54&lt;=-0.2),"超过20%","")</f>
        <v/>
      </c>
      <c r="G54" s="498">
        <f>IF(G49&lt;I49,I49/G49-1,G49/I49-1)</f>
        <v>7.7679382379654882E-2</v>
      </c>
      <c r="H54" s="499" t="str">
        <f>IF(OR(G54&gt;=0.2,G54&lt;=-0.2),"超过20%","")</f>
        <v/>
      </c>
      <c r="I54" s="498">
        <f>IF(I49&lt;E49,E49/I49-1,I49/E49-1)</f>
        <v>0.10469473733212298</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6.1825000000000019E-2</v>
      </c>
      <c r="F55" s="499" t="str">
        <f>IF(OR(E55&gt;=0.3,E55&lt;=-0.3),"超过30%","")</f>
        <v/>
      </c>
      <c r="G55" s="498">
        <f>IF(G48&lt;I48,I48/G48-1,G48/I48-1)</f>
        <v>0.14999999999999991</v>
      </c>
      <c r="H55" s="499" t="str">
        <f>IF(OR(G55&gt;=0.3,G55&lt;=-0.3),"超过30%","")</f>
        <v/>
      </c>
      <c r="I55" s="498">
        <f>IF(I48&lt;E48,E48/I48-1,I48/E48-1)</f>
        <v>8.3040990747062837E-2</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2018-5</v>
      </c>
      <c r="D59" s="1573">
        <f>EDATE(C59,-1)</f>
        <v>43191</v>
      </c>
      <c r="E59" s="1573">
        <f>EDATE(D59,-1)</f>
        <v>43160</v>
      </c>
      <c r="F59" s="1573">
        <f t="shared" ref="F59:O59" si="16">EDATE(E59,-1)</f>
        <v>43132</v>
      </c>
      <c r="G59" s="1573">
        <f t="shared" si="16"/>
        <v>43101</v>
      </c>
      <c r="H59" s="1573">
        <f t="shared" si="16"/>
        <v>43070</v>
      </c>
      <c r="I59" s="1573">
        <f t="shared" si="16"/>
        <v>43040</v>
      </c>
      <c r="J59" s="1573">
        <f t="shared" si="16"/>
        <v>43009</v>
      </c>
      <c r="K59" s="1573">
        <f t="shared" si="16"/>
        <v>42979</v>
      </c>
      <c r="L59" s="1573">
        <f t="shared" si="16"/>
        <v>42948</v>
      </c>
      <c r="M59" s="1573">
        <f t="shared" si="16"/>
        <v>42917</v>
      </c>
      <c r="N59" s="1573">
        <f t="shared" si="16"/>
        <v>42887</v>
      </c>
      <c r="O59" s="1573">
        <f t="shared" si="16"/>
        <v>42856</v>
      </c>
      <c r="P59" s="1569"/>
    </row>
    <row r="60" spans="1:29" s="116" customFormat="1" ht="15">
      <c r="A60" s="508"/>
      <c r="B60" s="509"/>
      <c r="C60" s="1571">
        <v>100</v>
      </c>
      <c r="D60" s="511"/>
      <c r="E60" s="511"/>
      <c r="F60" s="511"/>
      <c r="G60" s="511"/>
      <c r="H60" s="511"/>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3078</v>
      </c>
      <c r="D87" s="2973" t="s">
        <v>3079</v>
      </c>
      <c r="E87" s="2973" t="s">
        <v>3080</v>
      </c>
      <c r="F87" s="2973" t="s">
        <v>3081</v>
      </c>
      <c r="G87" s="2973" t="s">
        <v>3082</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3083</v>
      </c>
      <c r="D89" s="2973" t="s">
        <v>3084</v>
      </c>
      <c r="E89" s="2973" t="s">
        <v>3085</v>
      </c>
      <c r="F89" s="2633"/>
      <c r="G89" s="553"/>
      <c r="H89" s="553"/>
      <c r="I89" s="553"/>
      <c r="J89" s="553"/>
      <c r="K89" s="553"/>
      <c r="L89" s="553"/>
      <c r="M89" s="580"/>
      <c r="N89" s="1149"/>
      <c r="O89" s="1149"/>
      <c r="P89" s="2681"/>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1"/>
      <c r="Q90" s="503"/>
    </row>
    <row r="91" spans="1:17" s="470" customFormat="1" ht="15.75" thickTop="1">
      <c r="A91" s="552"/>
      <c r="B91" s="537" t="str">
        <f>B28</f>
        <v>朝向</v>
      </c>
      <c r="C91" s="2973" t="s">
        <v>3086</v>
      </c>
      <c r="D91" s="2973" t="s">
        <v>3087</v>
      </c>
      <c r="E91" s="2973" t="s">
        <v>3088</v>
      </c>
      <c r="F91" s="2973" t="s">
        <v>3089</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3090</v>
      </c>
      <c r="D101" s="2974" t="s">
        <v>3091</v>
      </c>
      <c r="E101" s="2974" t="s">
        <v>3092</v>
      </c>
      <c r="F101" s="2974" t="s">
        <v>3093</v>
      </c>
      <c r="G101" s="2974" t="s">
        <v>3094</v>
      </c>
      <c r="H101" s="2974" t="s">
        <v>3095</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3096</v>
      </c>
      <c r="D106" s="2973" t="s">
        <v>3097</v>
      </c>
      <c r="E106" s="2975" t="s">
        <v>3098</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3099</v>
      </c>
      <c r="D108" s="2973" t="s">
        <v>3100</v>
      </c>
      <c r="E108" s="2973" t="s">
        <v>3101</v>
      </c>
      <c r="F108" s="2975" t="s">
        <v>3102</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81"/>
      <c r="Q112" s="503"/>
    </row>
    <row r="113" spans="1:17" s="470" customFormat="1" ht="15" thickTop="1">
      <c r="A113" s="592"/>
      <c r="B113" s="537" t="s">
        <v>2701</v>
      </c>
      <c r="C113" s="2973" t="s">
        <v>3103</v>
      </c>
      <c r="D113" s="2973" t="s">
        <v>3104</v>
      </c>
      <c r="E113" s="2973" t="s">
        <v>3105</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3106</v>
      </c>
      <c r="D115" s="2973" t="s">
        <v>3107</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3108</v>
      </c>
      <c r="D117" s="2973" t="s">
        <v>3109</v>
      </c>
      <c r="E117" s="2973" t="s">
        <v>3110</v>
      </c>
      <c r="F117" s="2973" t="s">
        <v>3111</v>
      </c>
      <c r="G117" s="2973" t="s">
        <v>3112</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3113</v>
      </c>
      <c r="D119" s="2975" t="s">
        <v>3114</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3115</v>
      </c>
      <c r="D121" s="553" t="s">
        <v>3116</v>
      </c>
      <c r="E121" s="553" t="s">
        <v>3117</v>
      </c>
      <c r="F121" s="582" t="s">
        <v>3118</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3099</v>
      </c>
      <c r="D123" s="2973" t="s">
        <v>3100</v>
      </c>
      <c r="E123" s="2973" t="s">
        <v>3101</v>
      </c>
      <c r="F123" s="2975" t="s">
        <v>3102</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8" t="str">
        <f>项目基本情况!B1</f>
        <v>北京市房地产市场价值预评估</v>
      </c>
      <c r="C37" s="3018"/>
      <c r="D37" s="3018"/>
      <c r="E37" s="3018"/>
      <c r="F37" s="3018"/>
      <c r="G37" s="3018"/>
      <c r="H37" s="3018"/>
      <c r="I37" s="3018"/>
    </row>
    <row r="38" spans="1:9">
      <c r="A38" s="1014"/>
      <c r="B38" s="1014"/>
    </row>
    <row r="39" spans="1:9">
      <c r="A39" s="1012" t="s">
        <v>818</v>
      </c>
      <c r="B39" s="1012" t="s">
        <v>820</v>
      </c>
    </row>
    <row r="40" spans="1:9">
      <c r="A40" s="1012"/>
      <c r="B40" s="1940" t="str">
        <f>项目基本情况!B5</f>
        <v>北京杰伟科技发展有限公司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刘梅（注册号：1120140022)、吴薇（注册号：1419970001)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43" sqref="D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27</v>
      </c>
      <c r="D1" s="1818" t="s">
        <v>70</v>
      </c>
      <c r="E1" s="1819" t="s">
        <v>1387</v>
      </c>
      <c r="F1" s="1281">
        <f ca="1">J53</f>
        <v>43.15</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104665</v>
      </c>
      <c r="C2" s="1843" t="s">
        <v>1516</v>
      </c>
      <c r="D2" s="1843"/>
      <c r="E2" s="1844"/>
      <c r="F2" s="1845"/>
      <c r="G2" s="1846"/>
      <c r="H2" s="1838"/>
      <c r="I2" s="1838"/>
      <c r="J2" s="1838"/>
      <c r="K2" s="1839"/>
      <c r="L2" s="1838"/>
      <c r="M2" s="1838"/>
    </row>
    <row r="3" spans="1:37" ht="18" customHeight="1" thickBot="1">
      <c r="A3" s="1847" t="s">
        <v>1517</v>
      </c>
      <c r="B3" s="1848">
        <f ca="1">IF(ISERROR(B2*10000/F43),0,ROUND(B2*10000/F43,0))</f>
        <v>43515</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4351</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4346</v>
      </c>
      <c r="D6" s="163" t="s">
        <v>3033</v>
      </c>
      <c r="E6" s="346" t="s">
        <v>1405</v>
      </c>
      <c r="F6" s="347">
        <f ca="1">INDIRECT("'数据-取费表'!u"&amp;$G$1)</f>
        <v>5.5</v>
      </c>
      <c r="G6" s="1849"/>
      <c r="H6" s="1289" t="s">
        <v>1035</v>
      </c>
      <c r="I6" s="3253" t="s">
        <v>1403</v>
      </c>
      <c r="J6" s="345">
        <f ca="1">ROUND(M6*M8*M7*(1-M9)/10000,0)</f>
        <v>0</v>
      </c>
      <c r="K6" s="163" t="s">
        <v>3032</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24052.409999999996</v>
      </c>
      <c r="G7" s="1849"/>
      <c r="H7" s="348"/>
      <c r="I7" s="3254"/>
      <c r="J7" s="350"/>
      <c r="K7" s="351"/>
      <c r="L7" s="346" t="s">
        <v>1406</v>
      </c>
      <c r="M7" s="347">
        <f ca="1">F7</f>
        <v>24052.409999999996</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5</v>
      </c>
      <c r="D10" s="1822" t="s">
        <v>3042</v>
      </c>
      <c r="E10" s="357" t="s">
        <v>1410</v>
      </c>
      <c r="F10" s="1364" t="s">
        <v>3161</v>
      </c>
      <c r="G10" s="1849"/>
      <c r="H10" s="1289" t="s">
        <v>1039</v>
      </c>
      <c r="I10" s="1821" t="s">
        <v>1409</v>
      </c>
      <c r="J10" s="345">
        <f ca="1">ROUND(IF(M10="押一",J6/12*M11,IF(M10="押二",J6/12*2*M11,IF(M10="押三",J6/12*3*M11,J11*M11))),0)</f>
        <v>0</v>
      </c>
      <c r="K10" s="1822" t="s">
        <v>3041</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11922</v>
      </c>
      <c r="D13" s="1329" t="s">
        <v>1415</v>
      </c>
      <c r="E13" s="1329" t="s">
        <v>1416</v>
      </c>
      <c r="F13" s="1330">
        <f ca="1">INDIRECT("'数据-取费表'!y"&amp;$G$1)</f>
        <v>0.95</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7697</v>
      </c>
      <c r="D14" s="2947" t="s">
        <v>1418</v>
      </c>
      <c r="E14" s="2942"/>
      <c r="F14" s="363"/>
      <c r="G14" s="1849"/>
      <c r="H14" s="1199" t="s">
        <v>1035</v>
      </c>
      <c r="I14" s="346" t="s">
        <v>1419</v>
      </c>
      <c r="J14" s="23">
        <f ca="1">C29</f>
        <v>12549</v>
      </c>
      <c r="K14" s="2959"/>
      <c r="L14" s="977"/>
      <c r="M14" s="978"/>
    </row>
    <row r="15" spans="1:37" s="1856" customFormat="1" ht="18" customHeight="1" thickBot="1">
      <c r="A15" s="1199" t="s">
        <v>1036</v>
      </c>
      <c r="B15" s="346" t="s">
        <v>1420</v>
      </c>
      <c r="C15" s="23">
        <f ca="1">ROUND(C14*F15,0)</f>
        <v>231</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306</v>
      </c>
      <c r="K16" s="1335" t="s">
        <v>1425</v>
      </c>
      <c r="L16" s="2949"/>
      <c r="M16" s="1292"/>
    </row>
    <row r="17" spans="1:37" s="1856" customFormat="1" ht="18" customHeight="1">
      <c r="A17" s="1199" t="s">
        <v>1390</v>
      </c>
      <c r="B17" s="346" t="s">
        <v>1426</v>
      </c>
      <c r="C17" s="23">
        <f ca="1">ROUND(F17*(F43+INDIRECT("'数据-取费表'!S"&amp;$G$1))/10000,0)</f>
        <v>481</v>
      </c>
      <c r="D17" s="346" t="s">
        <v>1427</v>
      </c>
      <c r="E17" s="346" t="s">
        <v>1428</v>
      </c>
      <c r="F17" s="25">
        <f>'数据-取费表'!B35</f>
        <v>200</v>
      </c>
      <c r="G17" s="1852"/>
      <c r="H17" s="1199" t="s">
        <v>1035</v>
      </c>
      <c r="I17" s="346" t="s">
        <v>1429</v>
      </c>
      <c r="J17" s="23">
        <f ca="1">ROUND(IF(项目基本情况!B11="自然人",J5*M17,J18+J19+J20),1)</f>
        <v>118.2</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115</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8524</v>
      </c>
      <c r="D19" s="139" t="s">
        <v>1436</v>
      </c>
      <c r="E19" s="2957"/>
      <c r="F19" s="25"/>
      <c r="G19" s="1849"/>
      <c r="H19" s="1199" t="s">
        <v>1036</v>
      </c>
      <c r="I19" s="346" t="s">
        <v>1437</v>
      </c>
      <c r="J19" s="23">
        <f ca="1">IF(K19="按租金收入计税",ROUND(J5*M19,2),ROUND(C29*M19*0.7,2))</f>
        <v>105.41</v>
      </c>
      <c r="K19" s="1826" t="s">
        <v>1438</v>
      </c>
      <c r="L19" s="346" t="s">
        <v>1422</v>
      </c>
      <c r="M19" s="366">
        <f>IF(K19="按租金收入计税",'数据-取费表'!B51,'数据-取费表'!B50)</f>
        <v>1.2E-2</v>
      </c>
    </row>
    <row r="20" spans="1:37" s="1856" customFormat="1" ht="18" customHeight="1">
      <c r="A20" s="1199" t="s">
        <v>1039</v>
      </c>
      <c r="B20" s="346" t="s">
        <v>1439</v>
      </c>
      <c r="C20" s="23">
        <f ca="1">ROUND(C19*F20,0)</f>
        <v>256</v>
      </c>
      <c r="D20" s="368" t="s">
        <v>1440</v>
      </c>
      <c r="E20" s="346" t="s">
        <v>1422</v>
      </c>
      <c r="F20" s="366">
        <f>'数据-取费表'!B37</f>
        <v>0.03</v>
      </c>
      <c r="G20" s="1852"/>
      <c r="H20" s="1199" t="s">
        <v>1389</v>
      </c>
      <c r="I20" s="163" t="s">
        <v>1441</v>
      </c>
      <c r="J20" s="24">
        <f ca="1">ROUND(M20*M21/10000,2)</f>
        <v>12.75</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10622.88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188.2</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417</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-306</v>
      </c>
      <c r="K25" s="1343" t="s">
        <v>1464</v>
      </c>
      <c r="L25" s="1344"/>
      <c r="M25" s="1345"/>
    </row>
    <row r="26" spans="1:37">
      <c r="A26" s="1199" t="s">
        <v>1034</v>
      </c>
      <c r="B26" s="346" t="s">
        <v>1465</v>
      </c>
      <c r="C26" s="23">
        <f ca="1">ROUND((C19+C20)*F26,0)</f>
        <v>2195</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12549</v>
      </c>
      <c r="D29" s="1340"/>
      <c r="E29" s="1338"/>
      <c r="F29" s="1341"/>
      <c r="G29" s="1852"/>
      <c r="H29" s="379" t="s">
        <v>1033</v>
      </c>
      <c r="I29" s="380" t="s">
        <v>1479</v>
      </c>
      <c r="J29" s="381">
        <f ca="1">ROUND(J26/(1+F40)^F41,0)</f>
        <v>0</v>
      </c>
      <c r="K29" s="382" t="s">
        <v>1480</v>
      </c>
      <c r="L29" s="383"/>
      <c r="M29" s="384">
        <f ca="1">INDIRECT("'数据-取费表'!k"&amp;$G$1)</f>
        <v>24052.409999999996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643</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350.2</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232.05</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105.41</v>
      </c>
      <c r="D33" s="3013"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12.75</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10622.88</v>
      </c>
      <c r="G35" s="1849"/>
      <c r="H35" s="744"/>
      <c r="I35" s="1858"/>
      <c r="J35" s="1859"/>
      <c r="K35" s="1860"/>
      <c r="L35" s="1857"/>
      <c r="M35" s="1857"/>
    </row>
    <row r="36" spans="1:18" ht="18" customHeight="1">
      <c r="A36" s="1350" t="s">
        <v>1039</v>
      </c>
      <c r="B36" s="346" t="s">
        <v>1449</v>
      </c>
      <c r="C36" s="23">
        <f ca="1">ROUND(C29*F36,1)</f>
        <v>188.2</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17.899999999999999</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87</v>
      </c>
      <c r="D38" s="1340" t="s">
        <v>1459</v>
      </c>
      <c r="E38" s="1338" t="s">
        <v>1455</v>
      </c>
      <c r="F38" s="1334">
        <f ca="1">INDIRECT("'数据-取费表'!Am"&amp;$G$1)</f>
        <v>0.02</v>
      </c>
      <c r="G38" s="1849"/>
      <c r="H38" s="1857"/>
      <c r="I38" s="1858"/>
      <c r="J38" s="1859"/>
      <c r="K38" s="1863"/>
      <c r="L38" s="1857"/>
      <c r="M38" s="1857"/>
    </row>
    <row r="39" spans="1:18" ht="24.6" customHeight="1" thickTop="1">
      <c r="A39" s="1327" t="s">
        <v>1031</v>
      </c>
      <c r="B39" s="1342" t="s">
        <v>1483</v>
      </c>
      <c r="C39" s="354">
        <f ca="1">C5-C30</f>
        <v>3708</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104543</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43.15</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43465</v>
      </c>
      <c r="D43" s="382" t="s">
        <v>1488</v>
      </c>
      <c r="E43" s="383" t="s">
        <v>1489</v>
      </c>
      <c r="F43" s="384">
        <f ca="1">INDIRECT("'数据-取费表'!k"&amp;$G$1)</f>
        <v>24052.409999999996</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-110234</v>
      </c>
      <c r="D46" s="1870" t="str">
        <f>C2</f>
        <v>万元</v>
      </c>
      <c r="E46" s="1864"/>
      <c r="F46" s="1864"/>
      <c r="I46" s="1871" t="s">
        <v>1521</v>
      </c>
      <c r="J46" s="1872"/>
      <c r="K46" s="1873"/>
      <c r="L46" s="1874">
        <f ca="1">IF(M47="住宅",0,IF(L48&gt;J51,L60,J60))</f>
        <v>122</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3139</v>
      </c>
      <c r="K47" s="1880" t="s">
        <v>1527</v>
      </c>
      <c r="L47" s="1881">
        <f ca="1">INDIRECT("'数据-取费表'!d"&amp;$G$1)</f>
        <v>50</v>
      </c>
      <c r="M47" s="1836" t="str">
        <f>IF(ISNUMBER(FIND("住宅",C1)),"住宅","非住宅")</f>
        <v>非住宅</v>
      </c>
      <c r="O47" s="1882" t="s">
        <v>1040</v>
      </c>
      <c r="P47" s="1883" t="s">
        <v>1528</v>
      </c>
      <c r="Q47" s="1884">
        <f ca="1">C40+J29</f>
        <v>104543</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43.15</v>
      </c>
      <c r="O48" s="1882" t="s">
        <v>1041</v>
      </c>
      <c r="P48" s="1883" t="s">
        <v>1532</v>
      </c>
      <c r="Q48" s="1884">
        <f ca="1">J60</f>
        <v>122</v>
      </c>
      <c r="R48" s="1884" t="s">
        <v>1533</v>
      </c>
    </row>
    <row r="49" spans="1:18" s="1840" customFormat="1" ht="13.5" thickBot="1">
      <c r="A49" s="1192" t="s">
        <v>1136</v>
      </c>
      <c r="B49" s="1827" t="s">
        <v>1490</v>
      </c>
      <c r="C49" s="1362">
        <f ca="1">ROUND(F49*F51*F50*(1-F52)/10000,0)</f>
        <v>0</v>
      </c>
      <c r="D49" s="1274" t="s">
        <v>3034</v>
      </c>
      <c r="E49" s="1828" t="s">
        <v>1491</v>
      </c>
      <c r="F49" s="1279"/>
      <c r="G49" s="1889"/>
      <c r="H49" s="792"/>
      <c r="I49" s="1885" t="s">
        <v>1534</v>
      </c>
      <c r="J49" s="1890">
        <v>2014</v>
      </c>
      <c r="K49" s="1887" t="s">
        <v>1535</v>
      </c>
      <c r="L49" s="1891"/>
      <c r="O49" s="1892" t="s">
        <v>1042</v>
      </c>
      <c r="P49" s="1883" t="s">
        <v>1536</v>
      </c>
      <c r="Q49" s="1884">
        <f ca="1">C29</f>
        <v>12549</v>
      </c>
      <c r="R49" s="1884" t="s">
        <v>1529</v>
      </c>
    </row>
    <row r="50" spans="1:18" s="1840" customFormat="1" ht="13.5" thickBot="1">
      <c r="A50" s="1193"/>
      <c r="B50" s="1196"/>
      <c r="C50" s="1366"/>
      <c r="D50" s="1170"/>
      <c r="E50" s="1275" t="s">
        <v>1406</v>
      </c>
      <c r="F50" s="1276">
        <f ca="1">F7</f>
        <v>24052.409999999996</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56</v>
      </c>
      <c r="K51" s="1898" t="s">
        <v>1541</v>
      </c>
      <c r="L51" s="1899">
        <f ca="1">ROUND(-PV(INDIRECT("'数据-取费表'!h"&amp;$G$1),L48,(C39-C13*C76),0),0)</f>
        <v>50918</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43.15</v>
      </c>
      <c r="R52" s="1884" t="s">
        <v>1546</v>
      </c>
    </row>
    <row r="53" spans="1:18" s="1840" customFormat="1" ht="24.75" thickBot="1">
      <c r="A53" s="1403" t="s">
        <v>1137</v>
      </c>
      <c r="B53" s="1829" t="s">
        <v>1409</v>
      </c>
      <c r="C53" s="360">
        <f ca="1">ROUND(IF(F53="押一",C49/12*F11,IF(F53="押二",C49/12*2*F11,IF(F53="押三",C49/12*3*F11,C54*F11))),0)</f>
        <v>0</v>
      </c>
      <c r="D53" s="1822" t="s">
        <v>3041</v>
      </c>
      <c r="E53" s="357" t="s">
        <v>1410</v>
      </c>
      <c r="F53" s="1364"/>
      <c r="I53" s="1903" t="s">
        <v>1547</v>
      </c>
      <c r="J53" s="1904">
        <f ca="1">IF(M47="住宅",J51,IF(D1="——",MIN(J51,L48),IF(D1="在建（套用方法）",MIN(J51,L48-'数据-取费表'!B24),IF(D1="土地（套用方法）",MIN(J51,L48-'数据-取费表'!B20)))))</f>
        <v>43.15</v>
      </c>
      <c r="K53" s="3256" t="s">
        <v>1548</v>
      </c>
      <c r="L53" s="3257"/>
      <c r="O53" s="1882" t="s">
        <v>1046</v>
      </c>
      <c r="P53" s="1883" t="s">
        <v>1549</v>
      </c>
      <c r="Q53" s="1884">
        <f ca="1">Q47+Q48</f>
        <v>104665</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0.214</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11922</v>
      </c>
      <c r="D56" s="1912"/>
      <c r="E56" s="1913"/>
      <c r="F56" s="1905"/>
      <c r="I56" s="1914" t="s">
        <v>1554</v>
      </c>
      <c r="J56" s="1915" t="s">
        <v>3058</v>
      </c>
      <c r="K56" s="1885" t="s">
        <v>1555</v>
      </c>
      <c r="L56" s="1888" t="str">
        <f ca="1">IF(L48&lt;J51,"——",L48-J53)</f>
        <v>——</v>
      </c>
      <c r="O56" s="1882" t="s">
        <v>1040</v>
      </c>
      <c r="P56" s="1883" t="s">
        <v>1528</v>
      </c>
      <c r="Q56" s="1884">
        <f ca="1">C40+J29</f>
        <v>104543</v>
      </c>
      <c r="R56" s="1884" t="s">
        <v>1529</v>
      </c>
    </row>
    <row r="57" spans="1:18" s="1840" customFormat="1" ht="24.75" thickBot="1">
      <c r="A57" s="1916"/>
      <c r="B57" s="1167" t="s">
        <v>1478</v>
      </c>
      <c r="C57" s="281">
        <f ca="1">C29</f>
        <v>12549</v>
      </c>
      <c r="D57" s="1917"/>
      <c r="E57" s="1918"/>
      <c r="F57" s="1919"/>
      <c r="I57" s="1920" t="s">
        <v>1556</v>
      </c>
      <c r="J57" s="1921">
        <f ca="1">IF(OR(M47="住宅",J51&lt;L48,J56="是"),"——",J51-L48)</f>
        <v>12.850000000000001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324</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118.2</v>
      </c>
      <c r="D59" s="1180" t="s">
        <v>1430</v>
      </c>
      <c r="E59" s="1181" t="s">
        <v>1431</v>
      </c>
      <c r="F59" s="367" t="str">
        <f ca="1">IF(项目基本情况!B11="企业","",IF(INDIRECT("'数据-取费表'!c"&amp;$G$1)="住宅",5%,IF(F49*F50*F51/12/(1+'数据-取费表'!C42)&gt;20000,12%,7%)))</f>
        <v/>
      </c>
      <c r="I59" s="1920" t="s">
        <v>1563</v>
      </c>
      <c r="J59" s="1921">
        <f ca="1">IF(OR(M47="住宅",J51&lt;L48,J56="是"),"——",ROUND(C29*J58,0))</f>
        <v>5020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122</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105.41</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12.75</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104543</v>
      </c>
      <c r="R62" s="1884" t="s">
        <v>1047</v>
      </c>
    </row>
    <row r="63" spans="1:18" s="1840" customFormat="1" ht="13.5" thickBot="1">
      <c r="A63" s="371"/>
      <c r="B63" s="1173"/>
      <c r="C63" s="28"/>
      <c r="D63" s="1183"/>
      <c r="E63" s="1167" t="s">
        <v>1499</v>
      </c>
      <c r="F63" s="347">
        <f t="shared" ca="1" si="0"/>
        <v>10622.88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188.2</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17.899999999999999</v>
      </c>
      <c r="D65" s="1181" t="s">
        <v>1454</v>
      </c>
      <c r="E65" s="1167" t="s">
        <v>1455</v>
      </c>
      <c r="F65" s="375">
        <f t="shared" ca="1" si="0"/>
        <v>1.5E-3</v>
      </c>
      <c r="I65" s="1927" t="s">
        <v>1579</v>
      </c>
      <c r="J65" s="1928">
        <v>40</v>
      </c>
      <c r="K65" s="1928">
        <v>30</v>
      </c>
      <c r="L65" s="1928">
        <v>50</v>
      </c>
      <c r="M65" s="1930">
        <v>0.02</v>
      </c>
      <c r="O65" s="1882" t="s">
        <v>1040</v>
      </c>
      <c r="P65" s="1883" t="s">
        <v>1580</v>
      </c>
      <c r="Q65" s="1884">
        <f ca="1">C40+J29</f>
        <v>104543</v>
      </c>
      <c r="R65" s="1884" t="s">
        <v>1529</v>
      </c>
    </row>
    <row r="66" spans="1:18" s="1840" customFormat="1" ht="16.5" thickBot="1">
      <c r="A66" s="1199" t="s">
        <v>1504</v>
      </c>
      <c r="B66" s="1167" t="s">
        <v>1439</v>
      </c>
      <c r="C66" s="23">
        <f ca="1">ROUND(C48*F66,1)</f>
        <v>0</v>
      </c>
      <c r="D66" s="1181" t="s">
        <v>1505</v>
      </c>
      <c r="E66" s="1167" t="s">
        <v>1422</v>
      </c>
      <c r="F66" s="356">
        <f t="shared" ca="1" si="0"/>
        <v>0.02</v>
      </c>
      <c r="O66" s="1882" t="s">
        <v>1041</v>
      </c>
      <c r="P66" s="1883" t="s">
        <v>1558</v>
      </c>
      <c r="Q66" s="1884">
        <f ca="1">L60</f>
        <v>0</v>
      </c>
      <c r="R66" s="1884" t="s">
        <v>1581</v>
      </c>
    </row>
    <row r="67" spans="1:18" s="1840" customFormat="1" ht="16.5" thickBot="1">
      <c r="A67" s="1174" t="s">
        <v>1031</v>
      </c>
      <c r="B67" s="1184" t="s">
        <v>1463</v>
      </c>
      <c r="C67" s="360">
        <f ca="1">C48-C58</f>
        <v>-324</v>
      </c>
      <c r="D67" s="1180" t="s">
        <v>1464</v>
      </c>
      <c r="E67" s="1185"/>
      <c r="F67" s="1186"/>
      <c r="O67" s="1892" t="s">
        <v>1042</v>
      </c>
      <c r="P67" s="1883" t="s">
        <v>1562</v>
      </c>
      <c r="Q67" s="1931">
        <f ca="1">L51</f>
        <v>50918</v>
      </c>
      <c r="R67" s="1884" t="s">
        <v>1582</v>
      </c>
    </row>
    <row r="68" spans="1:18" s="1840" customFormat="1" ht="16.5" thickBot="1">
      <c r="A68" s="1164" t="s">
        <v>1032</v>
      </c>
      <c r="B68" s="1165" t="s">
        <v>1485</v>
      </c>
      <c r="C68" s="345">
        <f ca="1">ROUND(C67*(1-((1+F70)/(1+F68))^F69)/(F68-F70),0)</f>
        <v>-5691</v>
      </c>
      <c r="D68" s="1182" t="s">
        <v>1469</v>
      </c>
      <c r="E68" s="1167" t="s">
        <v>1470</v>
      </c>
      <c r="F68" s="356">
        <f ca="1">F40</f>
        <v>0.05</v>
      </c>
      <c r="O68" s="1892" t="s">
        <v>1043</v>
      </c>
      <c r="P68" s="1932" t="s">
        <v>1583</v>
      </c>
      <c r="Q68" s="1884">
        <f ca="1">ROUND(Q69-Q70*Q71,0)</f>
        <v>2695</v>
      </c>
      <c r="R68" s="1884" t="s">
        <v>1051</v>
      </c>
    </row>
    <row r="69" spans="1:18" s="1840" customFormat="1" ht="13.5" thickBot="1">
      <c r="A69" s="1168"/>
      <c r="B69" s="1169"/>
      <c r="C69" s="350"/>
      <c r="D69" s="1187" t="s">
        <v>1473</v>
      </c>
      <c r="E69" s="1167" t="s">
        <v>1474</v>
      </c>
      <c r="F69" s="378">
        <f ca="1">F41</f>
        <v>43.15</v>
      </c>
      <c r="O69" s="1892" t="s">
        <v>1048</v>
      </c>
      <c r="P69" s="1932" t="s">
        <v>1584</v>
      </c>
      <c r="Q69" s="1884">
        <f ca="1">C39</f>
        <v>3708</v>
      </c>
      <c r="R69" s="1884" t="s">
        <v>1529</v>
      </c>
    </row>
    <row r="70" spans="1:18" s="1840" customFormat="1" ht="13.5" thickBot="1">
      <c r="A70" s="1171"/>
      <c r="B70" s="1172"/>
      <c r="C70" s="354"/>
      <c r="D70" s="1183"/>
      <c r="E70" s="1167" t="s">
        <v>1477</v>
      </c>
      <c r="F70" s="1273"/>
      <c r="O70" s="1892" t="s">
        <v>1049</v>
      </c>
      <c r="P70" s="1932" t="s">
        <v>1585</v>
      </c>
      <c r="Q70" s="1884">
        <f ca="1">C13</f>
        <v>11922</v>
      </c>
      <c r="R70" s="1884" t="s">
        <v>1529</v>
      </c>
    </row>
    <row r="71" spans="1:18" s="1840" customFormat="1" ht="13.5" thickBot="1">
      <c r="A71" s="1188" t="s">
        <v>1033</v>
      </c>
      <c r="B71" s="1189" t="s">
        <v>1487</v>
      </c>
      <c r="C71" s="381">
        <f ca="1">ROUND(C68*10000/F71,0)</f>
        <v>-2366</v>
      </c>
      <c r="D71" s="1190" t="s">
        <v>1488</v>
      </c>
      <c r="E71" s="1191" t="s">
        <v>1489</v>
      </c>
      <c r="F71" s="384">
        <f ca="1">F43</f>
        <v>24052.409999999996</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1013</v>
      </c>
      <c r="D75" s="1840"/>
      <c r="E75" s="1840"/>
      <c r="F75" s="1840"/>
      <c r="K75" s="1866"/>
      <c r="L75" s="1840"/>
      <c r="O75" s="1882" t="s">
        <v>1046</v>
      </c>
      <c r="P75" s="1883" t="s">
        <v>1549</v>
      </c>
      <c r="Q75" s="1884">
        <f ca="1">Q65+Q66</f>
        <v>104543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0.72699999999999998</v>
      </c>
    </row>
    <row r="80" spans="1:18">
      <c r="B80" s="385" t="s">
        <v>1511</v>
      </c>
      <c r="C80" s="317">
        <f ca="1">ROUND(C75/C39,3)</f>
        <v>0.27300000000000002</v>
      </c>
    </row>
    <row r="81" spans="2:3">
      <c r="B81" s="313" t="s">
        <v>1512</v>
      </c>
      <c r="C81" s="281"/>
    </row>
    <row r="82" spans="2:3">
      <c r="B82" s="316" t="s">
        <v>1513</v>
      </c>
      <c r="C82" s="318">
        <f ca="1">1-C83</f>
        <v>0.88600000000000001</v>
      </c>
    </row>
    <row r="83" spans="2:3">
      <c r="B83" s="316" t="s">
        <v>1514</v>
      </c>
      <c r="C83" s="317">
        <f ca="1">ROUND(C13/C40,3)</f>
        <v>0.114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7" zoomScale="90" zoomScaleNormal="90" workbookViewId="0">
      <selection activeCell="F27" sqref="F27"/>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2687</v>
      </c>
      <c r="C1" s="1618" t="s">
        <v>2531</v>
      </c>
      <c r="D1" s="1619" t="s">
        <v>3136</v>
      </c>
      <c r="E1" s="1628"/>
      <c r="F1" s="2582" t="s">
        <v>3146</v>
      </c>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f>IF(C2="——",ROUND(C50*D3/10000,0),ROUND(C50*D3/10000,0)-D2)</f>
        <v>0</v>
      </c>
      <c r="C2" s="2584" t="s">
        <v>70</v>
      </c>
      <c r="D2" s="1363"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2645</v>
      </c>
      <c r="D3" s="398">
        <f>IF(D1="",'数据-汇总表'!E3,SUMIF('数据-汇总表'!$C19:$C33,D1,'数据-汇总表'!$E19:$E33))</f>
        <v>0</v>
      </c>
      <c r="E3" s="2661"/>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226" t="s">
        <v>2652</v>
      </c>
      <c r="Q4" s="3227"/>
      <c r="R4" s="3232" t="s">
        <v>2648</v>
      </c>
      <c r="S4" s="3233"/>
      <c r="T4" s="3232" t="s">
        <v>2649</v>
      </c>
      <c r="U4" s="3233"/>
      <c r="V4" s="3238" t="s">
        <v>2650</v>
      </c>
      <c r="W4" s="3238"/>
      <c r="X4" s="2966"/>
      <c r="Y4" s="3232" t="s">
        <v>2652</v>
      </c>
      <c r="Z4" s="3233"/>
      <c r="AA4" s="3250" t="s">
        <v>2648</v>
      </c>
      <c r="AB4" s="3250" t="s">
        <v>2649</v>
      </c>
      <c r="AC4" s="3219" t="s">
        <v>2650</v>
      </c>
    </row>
    <row r="5" spans="1:29" ht="15" customHeight="1">
      <c r="A5" s="403"/>
      <c r="B5" s="404"/>
      <c r="C5" s="3248" t="s">
        <v>2543</v>
      </c>
      <c r="D5" s="3249"/>
      <c r="E5" s="3242" t="s">
        <v>3070</v>
      </c>
      <c r="F5" s="3243"/>
      <c r="G5" s="3242" t="s">
        <v>3072</v>
      </c>
      <c r="H5" s="3243"/>
      <c r="I5" s="3242" t="s">
        <v>3071</v>
      </c>
      <c r="J5" s="3243"/>
      <c r="K5" s="609"/>
      <c r="L5" s="1128"/>
      <c r="M5" s="1129"/>
      <c r="N5" s="1129"/>
      <c r="O5" s="1129"/>
      <c r="P5" s="3228"/>
      <c r="Q5" s="3229"/>
      <c r="R5" s="3234"/>
      <c r="S5" s="3235"/>
      <c r="T5" s="3234"/>
      <c r="U5" s="3235"/>
      <c r="V5" s="3239"/>
      <c r="W5" s="3239"/>
      <c r="X5" s="2964"/>
      <c r="Y5" s="3234"/>
      <c r="Z5" s="3235"/>
      <c r="AA5" s="3251"/>
      <c r="AB5" s="3251"/>
      <c r="AC5" s="3220"/>
    </row>
    <row r="6" spans="1:29" ht="15.75" thickBot="1">
      <c r="A6" s="405"/>
      <c r="B6" s="406"/>
      <c r="C6" s="3240" t="s">
        <v>2547</v>
      </c>
      <c r="D6" s="3241"/>
      <c r="E6" s="3240" t="s">
        <v>2547</v>
      </c>
      <c r="F6" s="3241"/>
      <c r="G6" s="3240" t="s">
        <v>2547</v>
      </c>
      <c r="H6" s="3241"/>
      <c r="I6" s="3240" t="s">
        <v>2547</v>
      </c>
      <c r="J6" s="3241"/>
      <c r="K6" s="609" t="s">
        <v>2548</v>
      </c>
      <c r="L6" s="1128"/>
      <c r="M6" s="1129"/>
      <c r="N6" s="1129"/>
      <c r="O6" s="1129"/>
      <c r="P6" s="3230"/>
      <c r="Q6" s="3231"/>
      <c r="R6" s="3234"/>
      <c r="S6" s="3235"/>
      <c r="T6" s="3236"/>
      <c r="U6" s="3237"/>
      <c r="V6" s="3239"/>
      <c r="W6" s="3239"/>
      <c r="X6" s="2964"/>
      <c r="Y6" s="3236"/>
      <c r="Z6" s="3237"/>
      <c r="AA6" s="3252"/>
      <c r="AB6" s="3252"/>
      <c r="AC6" s="3221"/>
    </row>
    <row r="7" spans="1:29" s="116" customFormat="1" ht="15.75" thickBot="1">
      <c r="A7" s="407" t="s">
        <v>2549</v>
      </c>
      <c r="B7" s="408"/>
      <c r="C7" s="409">
        <f>'数据-取费表'!B2</f>
        <v>43236</v>
      </c>
      <c r="D7" s="410">
        <v>100</v>
      </c>
      <c r="E7" s="411">
        <v>43236</v>
      </c>
      <c r="F7" s="412">
        <f>SUMIF(59:59,YEAR(E7)&amp;"-"&amp;MONTH(E7),60:60)</f>
        <v>100</v>
      </c>
      <c r="G7" s="411">
        <v>43236</v>
      </c>
      <c r="H7" s="410">
        <f>SUMIF(59:59,YEAR(G7)&amp;"-"&amp;MONTH(G7),60:60)</f>
        <v>100</v>
      </c>
      <c r="I7" s="411">
        <v>43236</v>
      </c>
      <c r="J7" s="410">
        <f>SUMIF(59:59,YEAR(I7)&amp;"-"&amp;MONTH(I7),60:60)</f>
        <v>100</v>
      </c>
      <c r="K7" s="610"/>
      <c r="L7" s="1130"/>
      <c r="M7" s="1131"/>
      <c r="N7" s="1131"/>
      <c r="O7" s="1131"/>
      <c r="P7" s="3244" t="s">
        <v>2550</v>
      </c>
      <c r="Q7" s="3247"/>
      <c r="R7" s="769" t="s">
        <v>17</v>
      </c>
      <c r="S7" s="770">
        <f t="shared" ref="S7:S15" si="0">F7</f>
        <v>100</v>
      </c>
      <c r="T7" s="769" t="s">
        <v>17</v>
      </c>
      <c r="U7" s="770">
        <f t="shared" ref="U7:U15" si="1">H7</f>
        <v>100</v>
      </c>
      <c r="V7" s="769" t="s">
        <v>17</v>
      </c>
      <c r="W7" s="770">
        <f t="shared" ref="W7:W15" si="2">J7</f>
        <v>100</v>
      </c>
      <c r="X7" s="771"/>
      <c r="Y7" s="3246" t="s">
        <v>2550</v>
      </c>
      <c r="Z7" s="3245"/>
      <c r="AA7" s="772">
        <f>D7/F7</f>
        <v>1</v>
      </c>
      <c r="AB7" s="772">
        <f>D7/H7</f>
        <v>1</v>
      </c>
      <c r="AC7" s="2669">
        <f>D7/J7</f>
        <v>1</v>
      </c>
    </row>
    <row r="8" spans="1:29" s="116" customFormat="1" ht="15.75" thickBot="1">
      <c r="A8" s="407" t="s">
        <v>2551</v>
      </c>
      <c r="B8" s="408"/>
      <c r="C8" s="413" t="s">
        <v>2653</v>
      </c>
      <c r="D8" s="410">
        <v>100</v>
      </c>
      <c r="E8" s="413" t="s">
        <v>3073</v>
      </c>
      <c r="F8" s="412">
        <f>SUMIF(62:62,E8,63:63)-SUMIF(62:62,C8,63:63)+100</f>
        <v>100</v>
      </c>
      <c r="G8" s="413" t="s">
        <v>3073</v>
      </c>
      <c r="H8" s="410">
        <f>SUMIF(62:62,G8,63:63)-SUMIF(62:62,C8,63:63)+100</f>
        <v>100</v>
      </c>
      <c r="I8" s="413" t="s">
        <v>3073</v>
      </c>
      <c r="J8" s="410">
        <f>SUMIF(62:62,I8,63:63)-SUMIF(62:62,C8,63:63)+100</f>
        <v>100</v>
      </c>
      <c r="K8" s="610"/>
      <c r="L8" s="1130"/>
      <c r="M8" s="1131"/>
      <c r="N8" s="1131"/>
      <c r="O8" s="1131"/>
      <c r="P8" s="3244" t="s">
        <v>2553</v>
      </c>
      <c r="Q8" s="3245"/>
      <c r="R8" s="769" t="s">
        <v>17</v>
      </c>
      <c r="S8" s="770">
        <f t="shared" si="0"/>
        <v>100</v>
      </c>
      <c r="T8" s="769" t="s">
        <v>17</v>
      </c>
      <c r="U8" s="770">
        <f t="shared" si="1"/>
        <v>100</v>
      </c>
      <c r="V8" s="769" t="s">
        <v>17</v>
      </c>
      <c r="W8" s="770">
        <f t="shared" si="2"/>
        <v>100</v>
      </c>
      <c r="X8" s="771"/>
      <c r="Y8" s="3246" t="s">
        <v>2553</v>
      </c>
      <c r="Z8" s="3245"/>
      <c r="AA8" s="772">
        <f t="shared" ref="AA8:AA47" si="3">D8/F8</f>
        <v>1</v>
      </c>
      <c r="AB8" s="772">
        <f t="shared" ref="AB8:AB47" si="4">D8/H8</f>
        <v>1</v>
      </c>
      <c r="AC8" s="2669">
        <f t="shared" ref="AC8:AC47" si="5">D8/J8</f>
        <v>1</v>
      </c>
    </row>
    <row r="9" spans="1:29" s="116" customFormat="1">
      <c r="A9" s="414" t="s">
        <v>2554</v>
      </c>
      <c r="B9" s="70" t="s">
        <v>2555</v>
      </c>
      <c r="C9" s="2970" t="s">
        <v>3074</v>
      </c>
      <c r="D9" s="134">
        <v>100</v>
      </c>
      <c r="E9" s="2971" t="s">
        <v>3075</v>
      </c>
      <c r="F9" s="134">
        <f>SUMIF(64:64,E9,65:65)-SUMIF(64:64,C9,65:65)+100</f>
        <v>100</v>
      </c>
      <c r="G9" s="2972" t="s">
        <v>3074</v>
      </c>
      <c r="H9" s="134">
        <f>SUMIF(64:64,G9,65:65)-SUMIF(64:64,C9,65:65)+100</f>
        <v>100</v>
      </c>
      <c r="I9" s="2972" t="s">
        <v>3074</v>
      </c>
      <c r="J9" s="134">
        <f>SUMIF(64:64,I9,65:65)-SUMIF(64:64,C9,65:65)+100</f>
        <v>100</v>
      </c>
      <c r="K9" s="610"/>
      <c r="L9" s="1130"/>
      <c r="M9" s="1131"/>
      <c r="N9" s="1131"/>
      <c r="O9" s="1131"/>
      <c r="P9" s="3204" t="s">
        <v>2556</v>
      </c>
      <c r="Q9" s="2939" t="str">
        <f t="shared" ref="Q9:Q15" si="6">B9</f>
        <v>用途</v>
      </c>
      <c r="R9" s="769" t="s">
        <v>17</v>
      </c>
      <c r="S9" s="770">
        <f t="shared" si="0"/>
        <v>100</v>
      </c>
      <c r="T9" s="769" t="s">
        <v>17</v>
      </c>
      <c r="U9" s="770">
        <f t="shared" si="1"/>
        <v>100</v>
      </c>
      <c r="V9" s="769" t="s">
        <v>17</v>
      </c>
      <c r="W9" s="770">
        <f t="shared" si="2"/>
        <v>100</v>
      </c>
      <c r="X9" s="771"/>
      <c r="Y9" s="3062" t="s">
        <v>2557</v>
      </c>
      <c r="Z9" s="2941" t="str">
        <f t="shared" ref="Z9:Z15" si="7">Q9</f>
        <v>用途</v>
      </c>
      <c r="AA9" s="772">
        <f t="shared" si="3"/>
        <v>1</v>
      </c>
      <c r="AB9" s="772">
        <f t="shared" si="4"/>
        <v>1</v>
      </c>
      <c r="AC9" s="2669">
        <f t="shared" si="5"/>
        <v>1</v>
      </c>
    </row>
    <row r="10" spans="1:29" s="426" customFormat="1" ht="27">
      <c r="A10" s="420"/>
      <c r="B10" s="2951" t="s">
        <v>2558</v>
      </c>
      <c r="C10" s="422" t="s">
        <v>3076</v>
      </c>
      <c r="D10" s="135">
        <v>100</v>
      </c>
      <c r="E10" s="422" t="s">
        <v>3077</v>
      </c>
      <c r="F10" s="135">
        <f>SUMIF(66:66,E10,67:67)-SUMIF(66:66,C10,67:67)+100</f>
        <v>99</v>
      </c>
      <c r="G10" s="423" t="s">
        <v>3077</v>
      </c>
      <c r="H10" s="135">
        <f>SUMIF(66:66,G10,67:67)-SUMIF(66:66,C10,67:67)+100</f>
        <v>99</v>
      </c>
      <c r="I10" s="422" t="s">
        <v>3077</v>
      </c>
      <c r="J10" s="135">
        <f>SUMIF(66:66,I10,67:67)-SUMIF(66:66,C10,67:67)+100</f>
        <v>99</v>
      </c>
      <c r="K10" s="611">
        <v>1</v>
      </c>
      <c r="L10" s="1133"/>
      <c r="M10" s="1134"/>
      <c r="N10" s="1134"/>
      <c r="O10" s="1134"/>
      <c r="P10" s="3204"/>
      <c r="Q10" s="2939" t="str">
        <f t="shared" si="6"/>
        <v>土地使用年限（年）</v>
      </c>
      <c r="R10" s="769" t="s">
        <v>17</v>
      </c>
      <c r="S10" s="770">
        <f t="shared" si="0"/>
        <v>99</v>
      </c>
      <c r="T10" s="769" t="s">
        <v>17</v>
      </c>
      <c r="U10" s="770">
        <f t="shared" si="1"/>
        <v>99</v>
      </c>
      <c r="V10" s="769" t="s">
        <v>17</v>
      </c>
      <c r="W10" s="770">
        <f t="shared" si="2"/>
        <v>99</v>
      </c>
      <c r="X10" s="771"/>
      <c r="Y10" s="3062"/>
      <c r="Z10" s="2941" t="str">
        <f t="shared" si="7"/>
        <v>土地使用年限（年）</v>
      </c>
      <c r="AA10" s="772">
        <f t="shared" si="3"/>
        <v>1.0101010101010102</v>
      </c>
      <c r="AB10" s="772">
        <f t="shared" si="4"/>
        <v>1.0101010101010102</v>
      </c>
      <c r="AC10" s="2669">
        <f t="shared" si="5"/>
        <v>1.0101010101010102</v>
      </c>
    </row>
    <row r="11" spans="1:29" ht="15">
      <c r="A11" s="427"/>
      <c r="B11" s="2951" t="s">
        <v>2559</v>
      </c>
      <c r="C11" s="3010">
        <v>3.1</v>
      </c>
      <c r="D11" s="135">
        <v>100</v>
      </c>
      <c r="E11" s="428">
        <v>1.9</v>
      </c>
      <c r="F11" s="135">
        <f>LOOKUP(E11,69:69,70:70)-LOOKUP(C11,69:69,70:70)+100</f>
        <v>104</v>
      </c>
      <c r="G11" s="429">
        <v>7.7</v>
      </c>
      <c r="H11" s="135">
        <f>LOOKUP(G11,69:69,70:70)-LOOKUP(C11,69:69,70:70)+100</f>
        <v>92</v>
      </c>
      <c r="I11" s="428">
        <v>2.5</v>
      </c>
      <c r="J11" s="135">
        <f>LOOKUP(I11,69:69,70:70)-LOOKUP(C11,69:69,70:70)+100</f>
        <v>102</v>
      </c>
      <c r="K11" s="611">
        <v>2</v>
      </c>
      <c r="L11" s="1136"/>
      <c r="M11" s="1129"/>
      <c r="N11" s="1129"/>
      <c r="O11" s="1129"/>
      <c r="P11" s="3204"/>
      <c r="Q11" s="2939" t="str">
        <f t="shared" si="6"/>
        <v>容积率</v>
      </c>
      <c r="R11" s="769" t="s">
        <v>17</v>
      </c>
      <c r="S11" s="770">
        <f t="shared" si="0"/>
        <v>104</v>
      </c>
      <c r="T11" s="769" t="s">
        <v>17</v>
      </c>
      <c r="U11" s="770">
        <f t="shared" si="1"/>
        <v>92</v>
      </c>
      <c r="V11" s="769" t="s">
        <v>17</v>
      </c>
      <c r="W11" s="770">
        <f t="shared" si="2"/>
        <v>102</v>
      </c>
      <c r="X11" s="771"/>
      <c r="Y11" s="3062"/>
      <c r="Z11" s="2941" t="str">
        <f t="shared" si="7"/>
        <v>容积率</v>
      </c>
      <c r="AA11" s="772">
        <f t="shared" si="3"/>
        <v>0.96153846153846156</v>
      </c>
      <c r="AB11" s="772">
        <f t="shared" si="4"/>
        <v>1.0869565217391304</v>
      </c>
      <c r="AC11" s="2669">
        <f t="shared" si="5"/>
        <v>0.98039215686274506</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204"/>
      <c r="Q12" s="2939">
        <f t="shared" si="6"/>
        <v>111</v>
      </c>
      <c r="R12" s="769" t="s">
        <v>17</v>
      </c>
      <c r="S12" s="770">
        <f t="shared" si="0"/>
        <v>100</v>
      </c>
      <c r="T12" s="769" t="s">
        <v>17</v>
      </c>
      <c r="U12" s="770">
        <f t="shared" si="1"/>
        <v>100</v>
      </c>
      <c r="V12" s="769" t="s">
        <v>17</v>
      </c>
      <c r="W12" s="770">
        <f t="shared" si="2"/>
        <v>100</v>
      </c>
      <c r="X12" s="771"/>
      <c r="Y12" s="3062"/>
      <c r="Z12" s="2941">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204"/>
      <c r="Q13" s="2939">
        <f t="shared" si="6"/>
        <v>111</v>
      </c>
      <c r="R13" s="769" t="s">
        <v>17</v>
      </c>
      <c r="S13" s="770">
        <f t="shared" si="0"/>
        <v>100</v>
      </c>
      <c r="T13" s="769" t="s">
        <v>17</v>
      </c>
      <c r="U13" s="770">
        <f t="shared" si="1"/>
        <v>100</v>
      </c>
      <c r="V13" s="769" t="s">
        <v>17</v>
      </c>
      <c r="W13" s="770">
        <f t="shared" si="2"/>
        <v>100</v>
      </c>
      <c r="X13" s="771"/>
      <c r="Y13" s="3062"/>
      <c r="Z13" s="2941">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8"/>
      <c r="M14" s="1129"/>
      <c r="N14" s="1129"/>
      <c r="O14" s="1129"/>
      <c r="P14" s="3204"/>
      <c r="Q14" s="2939">
        <f t="shared" si="6"/>
        <v>111</v>
      </c>
      <c r="R14" s="769" t="s">
        <v>17</v>
      </c>
      <c r="S14" s="770">
        <f t="shared" si="0"/>
        <v>100</v>
      </c>
      <c r="T14" s="769" t="s">
        <v>17</v>
      </c>
      <c r="U14" s="770">
        <f t="shared" si="1"/>
        <v>100</v>
      </c>
      <c r="V14" s="769" t="s">
        <v>17</v>
      </c>
      <c r="W14" s="770">
        <f t="shared" si="2"/>
        <v>100</v>
      </c>
      <c r="X14" s="771"/>
      <c r="Y14" s="3062"/>
      <c r="Z14" s="2941">
        <f t="shared" si="7"/>
        <v>111</v>
      </c>
      <c r="AA14" s="772">
        <f t="shared" si="3"/>
        <v>1</v>
      </c>
      <c r="AB14" s="772">
        <f t="shared" si="4"/>
        <v>1</v>
      </c>
      <c r="AC14" s="2669">
        <f t="shared" si="5"/>
        <v>1</v>
      </c>
    </row>
    <row r="15" spans="1:29" ht="42.75">
      <c r="A15" s="439" t="s">
        <v>2560</v>
      </c>
      <c r="B15" s="628" t="s">
        <v>2688</v>
      </c>
      <c r="C15" s="2671" t="str">
        <f>估价对象房地状况!C5</f>
        <v>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8"/>
      <c r="M15" s="1129"/>
      <c r="N15" s="1129"/>
      <c r="O15" s="1129"/>
      <c r="P15" s="3210" t="s">
        <v>2561</v>
      </c>
      <c r="Q15" s="2962" t="str">
        <f t="shared" si="6"/>
        <v>办公集聚程度</v>
      </c>
      <c r="R15" s="773" t="s">
        <v>17</v>
      </c>
      <c r="S15" s="774">
        <f t="shared" si="0"/>
        <v>100</v>
      </c>
      <c r="T15" s="773" t="s">
        <v>17</v>
      </c>
      <c r="U15" s="774">
        <f t="shared" si="1"/>
        <v>100</v>
      </c>
      <c r="V15" s="773" t="s">
        <v>17</v>
      </c>
      <c r="W15" s="774">
        <f t="shared" si="2"/>
        <v>100</v>
      </c>
      <c r="X15" s="2964"/>
      <c r="Y15" s="3212" t="s">
        <v>2561</v>
      </c>
      <c r="Z15" s="2965" t="str">
        <f t="shared" si="7"/>
        <v>办公集聚程度</v>
      </c>
      <c r="AA15" s="2963">
        <f t="shared" si="3"/>
        <v>1</v>
      </c>
      <c r="AB15" s="2963">
        <f t="shared" si="4"/>
        <v>1</v>
      </c>
      <c r="AC15" s="2672">
        <f t="shared" si="5"/>
        <v>1</v>
      </c>
    </row>
    <row r="16" spans="1:29" ht="15">
      <c r="A16" s="427"/>
      <c r="B16" s="629"/>
      <c r="C16" s="2976" t="s">
        <v>3120</v>
      </c>
      <c r="D16" s="447"/>
      <c r="E16" s="2977" t="s">
        <v>3119</v>
      </c>
      <c r="F16" s="447"/>
      <c r="G16" s="2976" t="s">
        <v>3119</v>
      </c>
      <c r="H16" s="449"/>
      <c r="I16" s="2977" t="s">
        <v>3119</v>
      </c>
      <c r="J16" s="447"/>
      <c r="K16" s="614"/>
      <c r="L16" s="1138"/>
      <c r="M16" s="1129"/>
      <c r="N16" s="1129"/>
      <c r="O16" s="1129"/>
      <c r="P16" s="3211"/>
      <c r="Q16" s="2962"/>
      <c r="R16" s="773"/>
      <c r="S16" s="774"/>
      <c r="T16" s="773"/>
      <c r="U16" s="774"/>
      <c r="V16" s="773"/>
      <c r="W16" s="774"/>
      <c r="X16" s="2964"/>
      <c r="Y16" s="3213"/>
      <c r="Z16" s="2965"/>
      <c r="AA16" s="2963">
        <v>1</v>
      </c>
      <c r="AB16" s="2963">
        <v>1</v>
      </c>
      <c r="AC16" s="2672">
        <v>1</v>
      </c>
    </row>
    <row r="17" spans="1:29" ht="71.25">
      <c r="A17" s="427"/>
      <c r="B17" s="630" t="s">
        <v>2098</v>
      </c>
      <c r="C17" s="2673" t="str">
        <f>估价对象房地状况!C6</f>
        <v>估价对象周边道路通达、公共交通便捷、停车便捷，综合评价交通便捷度较好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38"/>
      <c r="M17" s="1129"/>
      <c r="N17" s="1129"/>
      <c r="O17" s="1129"/>
      <c r="P17" s="3211"/>
      <c r="Q17" s="2962" t="str">
        <f>B17</f>
        <v>交通便捷度</v>
      </c>
      <c r="R17" s="773" t="s">
        <v>17</v>
      </c>
      <c r="S17" s="774">
        <f>F17</f>
        <v>100</v>
      </c>
      <c r="T17" s="773" t="s">
        <v>17</v>
      </c>
      <c r="U17" s="774">
        <f>H17</f>
        <v>100</v>
      </c>
      <c r="V17" s="773" t="s">
        <v>17</v>
      </c>
      <c r="W17" s="774">
        <f>J17</f>
        <v>100</v>
      </c>
      <c r="X17" s="2964"/>
      <c r="Y17" s="3213"/>
      <c r="Z17" s="2965" t="str">
        <f>Q17</f>
        <v>交通便捷度</v>
      </c>
      <c r="AA17" s="2963">
        <f t="shared" si="3"/>
        <v>1</v>
      </c>
      <c r="AB17" s="2963">
        <f t="shared" si="4"/>
        <v>1</v>
      </c>
      <c r="AC17" s="2672">
        <f t="shared" si="5"/>
        <v>1</v>
      </c>
    </row>
    <row r="18" spans="1:29" ht="15">
      <c r="A18" s="427"/>
      <c r="B18" s="631"/>
      <c r="C18" s="2978" t="s">
        <v>3119</v>
      </c>
      <c r="D18" s="449"/>
      <c r="E18" s="2979" t="s">
        <v>3119</v>
      </c>
      <c r="F18" s="449"/>
      <c r="G18" s="2980" t="s">
        <v>3119</v>
      </c>
      <c r="H18" s="447"/>
      <c r="I18" s="2980" t="s">
        <v>3119</v>
      </c>
      <c r="J18" s="447"/>
      <c r="K18" s="614"/>
      <c r="L18" s="1138"/>
      <c r="M18" s="1129"/>
      <c r="N18" s="1129"/>
      <c r="O18" s="1129"/>
      <c r="P18" s="3211"/>
      <c r="Q18" s="2962"/>
      <c r="R18" s="773"/>
      <c r="S18" s="774"/>
      <c r="T18" s="773"/>
      <c r="U18" s="774"/>
      <c r="V18" s="773"/>
      <c r="W18" s="774"/>
      <c r="X18" s="2964"/>
      <c r="Y18" s="3213"/>
      <c r="Z18" s="2965"/>
      <c r="AA18" s="2963">
        <v>1</v>
      </c>
      <c r="AB18" s="2963">
        <v>1</v>
      </c>
      <c r="AC18" s="2672">
        <v>1</v>
      </c>
    </row>
    <row r="19" spans="1:29" ht="42.75">
      <c r="A19" s="427"/>
      <c r="B19" s="630" t="s">
        <v>2689</v>
      </c>
      <c r="C19" s="2673" t="str">
        <f>估价对象房地状况!C7</f>
        <v>估价对象所在区域公共配套设施较齐备</v>
      </c>
      <c r="D19" s="454">
        <v>100</v>
      </c>
      <c r="E19" s="458"/>
      <c r="F19" s="454">
        <f>SUMIF(81:81,E20,82:82)-SUMIF(81:81,C20,82:82)+100</f>
        <v>100</v>
      </c>
      <c r="G19" s="456"/>
      <c r="H19" s="449">
        <f>SUMIF(81:81,G20,82:82)-SUMIF(81:81,C20,82:82)+100</f>
        <v>100</v>
      </c>
      <c r="I19" s="456"/>
      <c r="J19" s="449">
        <f>SUMIF(81:81,I20,82:82)-SUMIF(81:81,C20,82:82)+100</f>
        <v>100</v>
      </c>
      <c r="K19" s="613">
        <v>2</v>
      </c>
      <c r="L19" s="1138"/>
      <c r="M19" s="1129"/>
      <c r="N19" s="1129"/>
      <c r="O19" s="1129"/>
      <c r="P19" s="3211"/>
      <c r="Q19" s="2962" t="str">
        <f>B19</f>
        <v>公共配套设施</v>
      </c>
      <c r="R19" s="773" t="s">
        <v>17</v>
      </c>
      <c r="S19" s="774">
        <f>F19</f>
        <v>100</v>
      </c>
      <c r="T19" s="773" t="s">
        <v>17</v>
      </c>
      <c r="U19" s="774">
        <f>H19</f>
        <v>100</v>
      </c>
      <c r="V19" s="773" t="s">
        <v>17</v>
      </c>
      <c r="W19" s="774">
        <f>J19</f>
        <v>100</v>
      </c>
      <c r="X19" s="2964"/>
      <c r="Y19" s="3213"/>
      <c r="Z19" s="2965" t="str">
        <f>Q19</f>
        <v>公共配套设施</v>
      </c>
      <c r="AA19" s="2963">
        <f t="shared" si="3"/>
        <v>1</v>
      </c>
      <c r="AB19" s="2963">
        <f t="shared" si="4"/>
        <v>1</v>
      </c>
      <c r="AC19" s="2672">
        <f t="shared" si="5"/>
        <v>1</v>
      </c>
    </row>
    <row r="20" spans="1:29" ht="15">
      <c r="A20" s="427"/>
      <c r="B20" s="631"/>
      <c r="C20" s="2976" t="s">
        <v>3119</v>
      </c>
      <c r="D20" s="447"/>
      <c r="E20" s="2981" t="s">
        <v>3119</v>
      </c>
      <c r="F20" s="447"/>
      <c r="G20" s="2982" t="s">
        <v>3119</v>
      </c>
      <c r="H20" s="447"/>
      <c r="I20" s="2982" t="s">
        <v>3119</v>
      </c>
      <c r="J20" s="447"/>
      <c r="K20" s="614"/>
      <c r="L20" s="1138"/>
      <c r="M20" s="1129"/>
      <c r="N20" s="1129"/>
      <c r="O20" s="1129"/>
      <c r="P20" s="3211"/>
      <c r="Q20" s="2962"/>
      <c r="R20" s="773"/>
      <c r="S20" s="774"/>
      <c r="T20" s="773"/>
      <c r="U20" s="774"/>
      <c r="V20" s="773"/>
      <c r="W20" s="774"/>
      <c r="X20" s="2964"/>
      <c r="Y20" s="3213"/>
      <c r="Z20" s="2965"/>
      <c r="AA20" s="2963">
        <v>1</v>
      </c>
      <c r="AB20" s="2963">
        <v>1</v>
      </c>
      <c r="AC20" s="2672">
        <v>1</v>
      </c>
    </row>
    <row r="21" spans="1:29" ht="42.75">
      <c r="A21" s="427"/>
      <c r="B21" s="632" t="s">
        <v>2690</v>
      </c>
      <c r="C21" s="2673"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v>1</v>
      </c>
      <c r="L21" s="1138"/>
      <c r="M21" s="1129"/>
      <c r="N21" s="1129"/>
      <c r="O21" s="1129"/>
      <c r="P21" s="3211"/>
      <c r="Q21" s="2962" t="str">
        <f>B21</f>
        <v>基础设施水平</v>
      </c>
      <c r="R21" s="773" t="s">
        <v>17</v>
      </c>
      <c r="S21" s="774">
        <f>F21</f>
        <v>100</v>
      </c>
      <c r="T21" s="773" t="s">
        <v>17</v>
      </c>
      <c r="U21" s="774">
        <f>H21</f>
        <v>100</v>
      </c>
      <c r="V21" s="773" t="s">
        <v>17</v>
      </c>
      <c r="W21" s="774">
        <f>J21</f>
        <v>100</v>
      </c>
      <c r="X21" s="2964"/>
      <c r="Y21" s="3213"/>
      <c r="Z21" s="2965" t="str">
        <f>Q21</f>
        <v>基础设施水平</v>
      </c>
      <c r="AA21" s="2963">
        <f t="shared" ref="AA21" si="8">D21/F21</f>
        <v>1</v>
      </c>
      <c r="AB21" s="2963">
        <f t="shared" ref="AB21" si="9">D21/H21</f>
        <v>1</v>
      </c>
      <c r="AC21" s="2672">
        <f t="shared" ref="AC21" si="10">D21/J21</f>
        <v>1</v>
      </c>
    </row>
    <row r="22" spans="1:29" ht="15">
      <c r="A22" s="427"/>
      <c r="B22" s="632"/>
      <c r="C22" s="2983" t="s">
        <v>3121</v>
      </c>
      <c r="D22" s="447"/>
      <c r="E22" s="2983" t="s">
        <v>3121</v>
      </c>
      <c r="F22" s="447"/>
      <c r="G22" s="2983" t="s">
        <v>3121</v>
      </c>
      <c r="H22" s="447"/>
      <c r="I22" s="2983" t="s">
        <v>3121</v>
      </c>
      <c r="J22" s="447"/>
      <c r="K22" s="1381"/>
      <c r="L22" s="1138"/>
      <c r="M22" s="1129"/>
      <c r="N22" s="1129"/>
      <c r="O22" s="1129"/>
      <c r="P22" s="3211"/>
      <c r="Q22" s="2962"/>
      <c r="R22" s="773"/>
      <c r="S22" s="774"/>
      <c r="T22" s="773"/>
      <c r="U22" s="774"/>
      <c r="V22" s="773"/>
      <c r="W22" s="774"/>
      <c r="X22" s="2964"/>
      <c r="Y22" s="3213"/>
      <c r="Z22" s="2965"/>
      <c r="AA22" s="2963">
        <v>1</v>
      </c>
      <c r="AB22" s="2963">
        <v>1</v>
      </c>
      <c r="AC22" s="2672">
        <v>1</v>
      </c>
    </row>
    <row r="23" spans="1:29" ht="57">
      <c r="A23" s="427"/>
      <c r="B23" s="630" t="s">
        <v>2691</v>
      </c>
      <c r="C23" s="2673" t="str">
        <f>估价对象房地状况!C9</f>
        <v>区域自然环境较好；人文环境一般；综合评价环境状况较好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38"/>
      <c r="M23" s="1129"/>
      <c r="N23" s="1129"/>
      <c r="O23" s="1129"/>
      <c r="P23" s="3211"/>
      <c r="Q23" s="2962" t="str">
        <f>B23</f>
        <v>环境质量</v>
      </c>
      <c r="R23" s="773" t="s">
        <v>17</v>
      </c>
      <c r="S23" s="774">
        <f>F23</f>
        <v>100</v>
      </c>
      <c r="T23" s="773" t="s">
        <v>17</v>
      </c>
      <c r="U23" s="774">
        <f>H23</f>
        <v>100</v>
      </c>
      <c r="V23" s="773" t="s">
        <v>17</v>
      </c>
      <c r="W23" s="774">
        <f>J23</f>
        <v>100</v>
      </c>
      <c r="X23" s="2964"/>
      <c r="Y23" s="3213"/>
      <c r="Z23" s="2965" t="str">
        <f>Q23</f>
        <v>环境质量</v>
      </c>
      <c r="AA23" s="2963">
        <f t="shared" si="3"/>
        <v>1</v>
      </c>
      <c r="AB23" s="2963">
        <f t="shared" si="4"/>
        <v>1</v>
      </c>
      <c r="AC23" s="2672">
        <f t="shared" si="5"/>
        <v>1</v>
      </c>
    </row>
    <row r="24" spans="1:29" ht="15">
      <c r="A24" s="427"/>
      <c r="B24" s="632"/>
      <c r="C24" s="2978" t="s">
        <v>3119</v>
      </c>
      <c r="D24" s="447"/>
      <c r="E24" s="2978" t="s">
        <v>3119</v>
      </c>
      <c r="F24" s="447"/>
      <c r="G24" s="2978" t="s">
        <v>3119</v>
      </c>
      <c r="H24" s="447"/>
      <c r="I24" s="2978" t="s">
        <v>3119</v>
      </c>
      <c r="J24" s="447"/>
      <c r="K24" s="614"/>
      <c r="L24" s="1138"/>
      <c r="M24" s="1129"/>
      <c r="N24" s="1129"/>
      <c r="O24" s="1129"/>
      <c r="P24" s="3211"/>
      <c r="Q24" s="2962"/>
      <c r="R24" s="773"/>
      <c r="S24" s="774"/>
      <c r="T24" s="773"/>
      <c r="U24" s="774"/>
      <c r="V24" s="773"/>
      <c r="W24" s="774"/>
      <c r="X24" s="2964"/>
      <c r="Y24" s="3213"/>
      <c r="Z24" s="2965"/>
      <c r="AA24" s="2963">
        <v>1</v>
      </c>
      <c r="AB24" s="2963">
        <v>1</v>
      </c>
      <c r="AC24" s="2672">
        <v>1</v>
      </c>
    </row>
    <row r="25" spans="1:29" ht="27">
      <c r="A25" s="403"/>
      <c r="B25" s="630" t="s">
        <v>2692</v>
      </c>
      <c r="C25" s="2984" t="s">
        <v>3122</v>
      </c>
      <c r="D25" s="434">
        <v>100</v>
      </c>
      <c r="E25" s="2985" t="s">
        <v>3123</v>
      </c>
      <c r="F25" s="434">
        <f>SUMIF(87:87,E26,88:88)-SUMIF(87:87,C26,88:88)+100</f>
        <v>100</v>
      </c>
      <c r="G25" s="2985" t="s">
        <v>3125</v>
      </c>
      <c r="H25" s="434">
        <f>SUMIF(87:87,G26,88:88)-SUMIF(87:87,C26,88:88)+100</f>
        <v>100</v>
      </c>
      <c r="I25" s="2985" t="s">
        <v>3124</v>
      </c>
      <c r="J25" s="434">
        <f>SUMIF(87:87,I26,88:88)-SUMIF(87:87,C26,88:88)+100</f>
        <v>100</v>
      </c>
      <c r="K25" s="613">
        <v>1</v>
      </c>
      <c r="L25" s="1138"/>
      <c r="M25" s="1129"/>
      <c r="N25" s="1129"/>
      <c r="O25" s="1129"/>
      <c r="P25" s="3211"/>
      <c r="Q25" s="2962" t="str">
        <f>B25</f>
        <v>毗邻道路的类型与等级</v>
      </c>
      <c r="R25" s="773" t="s">
        <v>17</v>
      </c>
      <c r="S25" s="774">
        <f>F25</f>
        <v>100</v>
      </c>
      <c r="T25" s="773" t="s">
        <v>17</v>
      </c>
      <c r="U25" s="774">
        <f>H25</f>
        <v>100</v>
      </c>
      <c r="V25" s="773" t="s">
        <v>17</v>
      </c>
      <c r="W25" s="774">
        <f>J25</f>
        <v>100</v>
      </c>
      <c r="X25" s="2964"/>
      <c r="Y25" s="3213"/>
      <c r="Z25" s="2965" t="str">
        <f>Q25</f>
        <v>毗邻道路的类型与等级</v>
      </c>
      <c r="AA25" s="2963">
        <f t="shared" si="3"/>
        <v>1</v>
      </c>
      <c r="AB25" s="2963">
        <f t="shared" si="4"/>
        <v>1</v>
      </c>
      <c r="AC25" s="2672">
        <f t="shared" si="5"/>
        <v>1</v>
      </c>
    </row>
    <row r="26" spans="1:29" ht="15">
      <c r="A26" s="403"/>
      <c r="B26" s="631"/>
      <c r="C26" s="2986" t="s">
        <v>3126</v>
      </c>
      <c r="D26" s="434"/>
      <c r="E26" s="2986" t="s">
        <v>3126</v>
      </c>
      <c r="F26" s="434"/>
      <c r="G26" s="2986" t="s">
        <v>3126</v>
      </c>
      <c r="H26" s="434"/>
      <c r="I26" s="2986" t="s">
        <v>3126</v>
      </c>
      <c r="J26" s="434"/>
      <c r="K26" s="614"/>
      <c r="L26" s="1138"/>
      <c r="M26" s="1129"/>
      <c r="N26" s="1129"/>
      <c r="O26" s="1129"/>
      <c r="P26" s="3211"/>
      <c r="Q26" s="2962"/>
      <c r="R26" s="773"/>
      <c r="S26" s="774"/>
      <c r="T26" s="773"/>
      <c r="U26" s="774"/>
      <c r="V26" s="773"/>
      <c r="W26" s="774"/>
      <c r="X26" s="2964"/>
      <c r="Y26" s="3213"/>
      <c r="Z26" s="2965"/>
      <c r="AA26" s="2963">
        <v>1</v>
      </c>
      <c r="AB26" s="2963">
        <v>1</v>
      </c>
      <c r="AC26" s="2672">
        <v>1</v>
      </c>
    </row>
    <row r="27" spans="1:29" ht="15">
      <c r="A27" s="427"/>
      <c r="B27" s="631" t="s">
        <v>2660</v>
      </c>
      <c r="C27" s="633" t="s">
        <v>3127</v>
      </c>
      <c r="D27" s="434">
        <v>100</v>
      </c>
      <c r="E27" s="615" t="s">
        <v>3127</v>
      </c>
      <c r="F27" s="434">
        <f>SUMIF(89:89,E27,90:90)-SUMIF(89:89,C27,90:90)+100</f>
        <v>100</v>
      </c>
      <c r="G27" s="633" t="s">
        <v>3127</v>
      </c>
      <c r="H27" s="434">
        <f>SUMIF(89:89,G27,90:90)-SUMIF(89:89,C27,90:90)+100</f>
        <v>100</v>
      </c>
      <c r="I27" s="615" t="s">
        <v>3127</v>
      </c>
      <c r="J27" s="434">
        <f>SUMIF(89:89,I27,90:90)-SUMIF(89:89,C27,90:90)+100</f>
        <v>100</v>
      </c>
      <c r="K27" s="611">
        <v>2</v>
      </c>
      <c r="L27" s="1138"/>
      <c r="M27" s="1129"/>
      <c r="N27" s="1129"/>
      <c r="O27" s="1129"/>
      <c r="P27" s="3211"/>
      <c r="Q27" s="2962" t="str">
        <f t="shared" ref="Q27:Q47" si="11">B27</f>
        <v>楼层</v>
      </c>
      <c r="R27" s="773" t="s">
        <v>17</v>
      </c>
      <c r="S27" s="774">
        <f>F27</f>
        <v>100</v>
      </c>
      <c r="T27" s="773" t="s">
        <v>17</v>
      </c>
      <c r="U27" s="774">
        <f>H27</f>
        <v>100</v>
      </c>
      <c r="V27" s="773" t="s">
        <v>17</v>
      </c>
      <c r="W27" s="774">
        <f>J27</f>
        <v>100</v>
      </c>
      <c r="X27" s="2964"/>
      <c r="Y27" s="3213"/>
      <c r="Z27" s="2965" t="str">
        <f>Q27</f>
        <v>楼层</v>
      </c>
      <c r="AA27" s="2963">
        <f t="shared" si="3"/>
        <v>1</v>
      </c>
      <c r="AB27" s="2963">
        <f t="shared" si="4"/>
        <v>1</v>
      </c>
      <c r="AC27" s="2672">
        <f t="shared" si="5"/>
        <v>1</v>
      </c>
    </row>
    <row r="28" spans="1:29" s="116" customFormat="1" ht="15">
      <c r="A28" s="430"/>
      <c r="B28" s="630" t="s">
        <v>2693</v>
      </c>
      <c r="C28" s="2674"/>
      <c r="D28" s="461">
        <v>100</v>
      </c>
      <c r="E28" s="2663"/>
      <c r="F28" s="461">
        <f>SUMIF(91:91,E28,92:92)-SUMIF(91:91,C28,92:92)+100</f>
        <v>100</v>
      </c>
      <c r="G28" s="2674"/>
      <c r="H28" s="461">
        <f>SUMIF(91:91,G28,92:92)-SUMIF(91:91,C28,92:92)+100</f>
        <v>100</v>
      </c>
      <c r="I28" s="2663"/>
      <c r="J28" s="461">
        <f>SUMIF(91:91,I28,92:92)-SUMIF(91:91,C28,92:92)+100</f>
        <v>100</v>
      </c>
      <c r="K28" s="611"/>
      <c r="L28" s="1130"/>
      <c r="M28" s="1131"/>
      <c r="N28" s="1131"/>
      <c r="O28" s="1131"/>
      <c r="P28" s="3211"/>
      <c r="Q28" s="2939" t="str">
        <f t="shared" si="11"/>
        <v>朝向</v>
      </c>
      <c r="R28" s="769" t="s">
        <v>17</v>
      </c>
      <c r="S28" s="770">
        <f>F28</f>
        <v>100</v>
      </c>
      <c r="T28" s="769" t="s">
        <v>17</v>
      </c>
      <c r="U28" s="770">
        <f>H28</f>
        <v>100</v>
      </c>
      <c r="V28" s="769" t="s">
        <v>17</v>
      </c>
      <c r="W28" s="770">
        <f>J28</f>
        <v>100</v>
      </c>
      <c r="X28" s="771"/>
      <c r="Y28" s="3213"/>
      <c r="Z28" s="2941" t="str">
        <f>Q28</f>
        <v>朝向</v>
      </c>
      <c r="AA28" s="2963">
        <f>D28/F28</f>
        <v>1</v>
      </c>
      <c r="AB28" s="2963">
        <f>D28/H28</f>
        <v>1</v>
      </c>
      <c r="AC28" s="2672">
        <f>D28/J28</f>
        <v>1</v>
      </c>
    </row>
    <row r="29" spans="1:29" ht="15">
      <c r="A29" s="427"/>
      <c r="B29" s="2675">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11"/>
      <c r="Q29" s="2962">
        <f t="shared" si="11"/>
        <v>111</v>
      </c>
      <c r="R29" s="773" t="s">
        <v>17</v>
      </c>
      <c r="S29" s="774">
        <f t="shared" ref="S29:S47" si="12">F29</f>
        <v>100</v>
      </c>
      <c r="T29" s="773" t="s">
        <v>17</v>
      </c>
      <c r="U29" s="774">
        <f t="shared" ref="U29:U47" si="13">H29</f>
        <v>100</v>
      </c>
      <c r="V29" s="773" t="s">
        <v>17</v>
      </c>
      <c r="W29" s="774">
        <f t="shared" ref="W29:W47" si="14">J29</f>
        <v>100</v>
      </c>
      <c r="X29" s="2964"/>
      <c r="Y29" s="3213"/>
      <c r="Z29" s="2965">
        <f t="shared" ref="Z29:Z47" si="15">Q29</f>
        <v>111</v>
      </c>
      <c r="AA29" s="2963">
        <f t="shared" si="3"/>
        <v>1</v>
      </c>
      <c r="AB29" s="2963">
        <f t="shared" si="4"/>
        <v>1</v>
      </c>
      <c r="AC29" s="2672">
        <f t="shared" si="5"/>
        <v>1</v>
      </c>
    </row>
    <row r="30" spans="1:29" ht="15">
      <c r="A30" s="427"/>
      <c r="B30" s="2675">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11"/>
      <c r="Q30" s="2962">
        <f t="shared" si="11"/>
        <v>111</v>
      </c>
      <c r="R30" s="773" t="s">
        <v>17</v>
      </c>
      <c r="S30" s="774">
        <f t="shared" si="12"/>
        <v>100</v>
      </c>
      <c r="T30" s="773" t="s">
        <v>17</v>
      </c>
      <c r="U30" s="774">
        <f t="shared" si="13"/>
        <v>100</v>
      </c>
      <c r="V30" s="773" t="s">
        <v>17</v>
      </c>
      <c r="W30" s="774">
        <f t="shared" si="14"/>
        <v>100</v>
      </c>
      <c r="X30" s="2964"/>
      <c r="Y30" s="3213"/>
      <c r="Z30" s="2965">
        <f t="shared" si="15"/>
        <v>111</v>
      </c>
      <c r="AA30" s="2963">
        <f t="shared" si="3"/>
        <v>1</v>
      </c>
      <c r="AB30" s="2963">
        <f t="shared" si="4"/>
        <v>1</v>
      </c>
      <c r="AC30" s="2672">
        <f t="shared" si="5"/>
        <v>1</v>
      </c>
    </row>
    <row r="31" spans="1:29" ht="15">
      <c r="A31" s="427"/>
      <c r="B31" s="2675">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11"/>
      <c r="Q31" s="2962">
        <f t="shared" si="11"/>
        <v>111</v>
      </c>
      <c r="R31" s="773" t="s">
        <v>17</v>
      </c>
      <c r="S31" s="774">
        <f t="shared" si="12"/>
        <v>100</v>
      </c>
      <c r="T31" s="773" t="s">
        <v>17</v>
      </c>
      <c r="U31" s="774">
        <f t="shared" si="13"/>
        <v>100</v>
      </c>
      <c r="V31" s="773" t="s">
        <v>17</v>
      </c>
      <c r="W31" s="774">
        <f t="shared" si="14"/>
        <v>100</v>
      </c>
      <c r="X31" s="2964"/>
      <c r="Y31" s="3213"/>
      <c r="Z31" s="2965">
        <f t="shared" si="15"/>
        <v>111</v>
      </c>
      <c r="AA31" s="2963">
        <f t="shared" si="3"/>
        <v>1</v>
      </c>
      <c r="AB31" s="296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11"/>
      <c r="Q32" s="2962">
        <f t="shared" si="11"/>
        <v>111</v>
      </c>
      <c r="R32" s="773" t="s">
        <v>17</v>
      </c>
      <c r="S32" s="774">
        <f t="shared" si="12"/>
        <v>100</v>
      </c>
      <c r="T32" s="773" t="s">
        <v>17</v>
      </c>
      <c r="U32" s="774">
        <f t="shared" si="13"/>
        <v>100</v>
      </c>
      <c r="V32" s="773" t="s">
        <v>17</v>
      </c>
      <c r="W32" s="774">
        <f t="shared" si="14"/>
        <v>100</v>
      </c>
      <c r="X32" s="2964"/>
      <c r="Y32" s="3213"/>
      <c r="Z32" s="2965">
        <f t="shared" si="15"/>
        <v>111</v>
      </c>
      <c r="AA32" s="2963">
        <f t="shared" si="3"/>
        <v>1</v>
      </c>
      <c r="AB32" s="2963">
        <f t="shared" si="4"/>
        <v>1</v>
      </c>
      <c r="AC32" s="2672">
        <f t="shared" si="5"/>
        <v>1</v>
      </c>
    </row>
    <row r="33" spans="1:29" ht="15">
      <c r="A33" s="439" t="s">
        <v>2564</v>
      </c>
      <c r="B33" s="70" t="s">
        <v>2694</v>
      </c>
      <c r="C33" s="2676" t="s">
        <v>3138</v>
      </c>
      <c r="D33" s="466">
        <v>100</v>
      </c>
      <c r="E33" s="2676" t="s">
        <v>3138</v>
      </c>
      <c r="F33" s="460">
        <f>SUMIF(101:101,E33,102:102)-SUMIF(101:101,C33,102:102)+100</f>
        <v>100</v>
      </c>
      <c r="G33" s="2676" t="s">
        <v>3138</v>
      </c>
      <c r="H33" s="434">
        <f>SUMIF(101:101,G33,102:102)-SUMIF(101:101,C33,102:102)+100</f>
        <v>100</v>
      </c>
      <c r="I33" s="2676" t="s">
        <v>3138</v>
      </c>
      <c r="J33" s="466">
        <f>SUMIF(101:101,I33,102:102)-SUMIF(101:101,C33,102:102)+100</f>
        <v>100</v>
      </c>
      <c r="K33" s="611">
        <v>1</v>
      </c>
      <c r="L33" s="1138"/>
      <c r="M33" s="1129"/>
      <c r="N33" s="1129"/>
      <c r="O33" s="1129"/>
      <c r="P33" s="3214" t="s">
        <v>2566</v>
      </c>
      <c r="Q33" s="2962" t="str">
        <f t="shared" si="11"/>
        <v>建筑类型</v>
      </c>
      <c r="R33" s="773" t="s">
        <v>17</v>
      </c>
      <c r="S33" s="774">
        <f t="shared" si="12"/>
        <v>100</v>
      </c>
      <c r="T33" s="773" t="s">
        <v>17</v>
      </c>
      <c r="U33" s="774">
        <f t="shared" si="13"/>
        <v>100</v>
      </c>
      <c r="V33" s="773" t="s">
        <v>17</v>
      </c>
      <c r="W33" s="774">
        <f t="shared" si="14"/>
        <v>100</v>
      </c>
      <c r="X33" s="2964"/>
      <c r="Y33" s="3217" t="s">
        <v>2566</v>
      </c>
      <c r="Z33" s="2965" t="str">
        <f t="shared" si="15"/>
        <v>建筑类型</v>
      </c>
      <c r="AA33" s="2963">
        <f t="shared" si="3"/>
        <v>1</v>
      </c>
      <c r="AB33" s="2963">
        <f t="shared" si="4"/>
        <v>1</v>
      </c>
      <c r="AC33" s="2672">
        <f t="shared" si="5"/>
        <v>1</v>
      </c>
    </row>
    <row r="34" spans="1:29" s="470" customFormat="1" ht="15">
      <c r="A34" s="467"/>
      <c r="B34" s="2951" t="s">
        <v>2567</v>
      </c>
      <c r="C34" s="468">
        <v>21231.9</v>
      </c>
      <c r="D34" s="135">
        <v>100</v>
      </c>
      <c r="E34" s="429">
        <v>142411</v>
      </c>
      <c r="F34" s="424">
        <f>LOOKUP(E34,104:104,105:105)-LOOKUP(C34,104:104,105:105)+100</f>
        <v>101</v>
      </c>
      <c r="G34" s="428">
        <v>173590</v>
      </c>
      <c r="H34" s="135">
        <f>LOOKUP(G34,104:104,105:105)-LOOKUP(C34,104:104,105:105)+100</f>
        <v>101</v>
      </c>
      <c r="I34" s="428">
        <v>144300</v>
      </c>
      <c r="J34" s="135">
        <f>LOOKUP(I34,104:104,105:105)-LOOKUP(C34,104:104,105:105)+100</f>
        <v>101</v>
      </c>
      <c r="K34" s="612"/>
      <c r="L34" s="1136"/>
      <c r="M34" s="1139"/>
      <c r="N34" s="1139"/>
      <c r="O34" s="1139"/>
      <c r="P34" s="3215"/>
      <c r="Q34" s="775" t="str">
        <f t="shared" si="11"/>
        <v>项目建筑规模</v>
      </c>
      <c r="R34" s="776" t="s">
        <v>17</v>
      </c>
      <c r="S34" s="777">
        <f t="shared" si="12"/>
        <v>101</v>
      </c>
      <c r="T34" s="776" t="s">
        <v>17</v>
      </c>
      <c r="U34" s="777">
        <f t="shared" si="13"/>
        <v>101</v>
      </c>
      <c r="V34" s="776" t="s">
        <v>17</v>
      </c>
      <c r="W34" s="777">
        <f t="shared" si="14"/>
        <v>101</v>
      </c>
      <c r="X34" s="778"/>
      <c r="Y34" s="3217"/>
      <c r="Z34" s="779" t="str">
        <f t="shared" si="15"/>
        <v>项目建筑规模</v>
      </c>
      <c r="AA34" s="2963">
        <f t="shared" si="3"/>
        <v>0.99009900990099009</v>
      </c>
      <c r="AB34" s="2963">
        <f t="shared" si="4"/>
        <v>0.99009900990099009</v>
      </c>
      <c r="AC34" s="2672">
        <f t="shared" si="5"/>
        <v>0.99009900990099009</v>
      </c>
    </row>
    <row r="35" spans="1:29" ht="15">
      <c r="A35" s="471"/>
      <c r="B35" s="2951" t="s">
        <v>2568</v>
      </c>
      <c r="C35" s="459" t="s">
        <v>3139</v>
      </c>
      <c r="D35" s="434">
        <v>100</v>
      </c>
      <c r="E35" s="459" t="s">
        <v>3139</v>
      </c>
      <c r="F35" s="460">
        <f>SUMIF(106:106,E35,107:107)-SUMIF(106:106,C35,107:107)+100</f>
        <v>100</v>
      </c>
      <c r="G35" s="459" t="s">
        <v>3139</v>
      </c>
      <c r="H35" s="434">
        <f>SUMIF(106:106,G35,107:107)-SUMIF(106:106,C35,107:107)+100</f>
        <v>100</v>
      </c>
      <c r="I35" s="459" t="s">
        <v>3139</v>
      </c>
      <c r="J35" s="434">
        <f>SUMIF(106:106,I35,107:107)-SUMIF(106:106,C35,107:107)+100</f>
        <v>100</v>
      </c>
      <c r="K35" s="611">
        <v>2</v>
      </c>
      <c r="L35" s="1138"/>
      <c r="M35" s="1129"/>
      <c r="N35" s="1129"/>
      <c r="O35" s="1129"/>
      <c r="P35" s="3215"/>
      <c r="Q35" s="2962" t="str">
        <f t="shared" si="11"/>
        <v>建筑结构</v>
      </c>
      <c r="R35" s="773" t="s">
        <v>17</v>
      </c>
      <c r="S35" s="774">
        <f t="shared" si="12"/>
        <v>100</v>
      </c>
      <c r="T35" s="773" t="s">
        <v>17</v>
      </c>
      <c r="U35" s="774">
        <f t="shared" si="13"/>
        <v>100</v>
      </c>
      <c r="V35" s="773" t="s">
        <v>17</v>
      </c>
      <c r="W35" s="774">
        <f t="shared" si="14"/>
        <v>100</v>
      </c>
      <c r="X35" s="2964"/>
      <c r="Y35" s="3217"/>
      <c r="Z35" s="2965" t="str">
        <f t="shared" si="15"/>
        <v>建筑结构</v>
      </c>
      <c r="AA35" s="2963">
        <f t="shared" si="3"/>
        <v>1</v>
      </c>
      <c r="AB35" s="2963">
        <f t="shared" si="4"/>
        <v>1</v>
      </c>
      <c r="AC35" s="2672">
        <f t="shared" si="5"/>
        <v>1</v>
      </c>
    </row>
    <row r="36" spans="1:29" ht="15">
      <c r="A36" s="471"/>
      <c r="B36" s="2951" t="s">
        <v>2662</v>
      </c>
      <c r="C36" s="459" t="s">
        <v>3140</v>
      </c>
      <c r="D36" s="434">
        <v>100</v>
      </c>
      <c r="E36" s="459" t="s">
        <v>3140</v>
      </c>
      <c r="F36" s="460">
        <f>SUMIF(108:108,E36,109:109)-SUMIF(108:108,C36,109:109)+100</f>
        <v>100</v>
      </c>
      <c r="G36" s="459" t="s">
        <v>3140</v>
      </c>
      <c r="H36" s="434">
        <f>SUMIF(108:108,G36,109:109)-SUMIF(108:108,C36,109:109)+100</f>
        <v>100</v>
      </c>
      <c r="I36" s="459" t="s">
        <v>3140</v>
      </c>
      <c r="J36" s="434">
        <f>SUMIF(108:108,I36,109:109)-SUMIF(108:108,C36,109:109)+100</f>
        <v>100</v>
      </c>
      <c r="K36" s="611">
        <v>2</v>
      </c>
      <c r="L36" s="1138"/>
      <c r="M36" s="1129"/>
      <c r="N36" s="1129"/>
      <c r="O36" s="1129"/>
      <c r="P36" s="3215"/>
      <c r="Q36" s="2962" t="str">
        <f t="shared" si="11"/>
        <v>公共部分装修</v>
      </c>
      <c r="R36" s="773" t="s">
        <v>17</v>
      </c>
      <c r="S36" s="774">
        <f t="shared" si="12"/>
        <v>100</v>
      </c>
      <c r="T36" s="773" t="s">
        <v>17</v>
      </c>
      <c r="U36" s="774">
        <f t="shared" si="13"/>
        <v>100</v>
      </c>
      <c r="V36" s="773" t="s">
        <v>17</v>
      </c>
      <c r="W36" s="774">
        <f t="shared" si="14"/>
        <v>100</v>
      </c>
      <c r="X36" s="2964"/>
      <c r="Y36" s="3217"/>
      <c r="Z36" s="2965" t="str">
        <f t="shared" si="15"/>
        <v>公共部分装修</v>
      </c>
      <c r="AA36" s="2963">
        <f t="shared" si="3"/>
        <v>1</v>
      </c>
      <c r="AB36" s="2963">
        <f t="shared" si="4"/>
        <v>1</v>
      </c>
      <c r="AC36" s="2672">
        <f t="shared" si="5"/>
        <v>1</v>
      </c>
    </row>
    <row r="37" spans="1:29" ht="15">
      <c r="A37" s="471"/>
      <c r="B37" s="2951" t="s">
        <v>2663</v>
      </c>
      <c r="C37" s="473">
        <v>0.93</v>
      </c>
      <c r="D37" s="434">
        <v>100</v>
      </c>
      <c r="E37" s="473">
        <v>0.77</v>
      </c>
      <c r="F37" s="460">
        <f>LOOKUP(E37,111:111,112:112)-LOOKUP(C37,111:111,112:112)+100</f>
        <v>98</v>
      </c>
      <c r="G37" s="473">
        <v>0.8</v>
      </c>
      <c r="H37" s="460">
        <f>LOOKUP(G37,111:111,112:112)-LOOKUP(C37,111:111,112:112)+100</f>
        <v>99</v>
      </c>
      <c r="I37" s="473">
        <v>0.75</v>
      </c>
      <c r="J37" s="434">
        <f>LOOKUP(I37,111:111,112:112)-LOOKUP(C37,111:111,112:112)+100</f>
        <v>98</v>
      </c>
      <c r="K37" s="611">
        <v>1</v>
      </c>
      <c r="L37" s="1138"/>
      <c r="M37" s="1129"/>
      <c r="N37" s="1129"/>
      <c r="O37" s="1129"/>
      <c r="P37" s="3215"/>
      <c r="Q37" s="2962" t="str">
        <f t="shared" si="11"/>
        <v>成新度</v>
      </c>
      <c r="R37" s="773" t="s">
        <v>17</v>
      </c>
      <c r="S37" s="774">
        <f t="shared" si="12"/>
        <v>98</v>
      </c>
      <c r="T37" s="773" t="s">
        <v>17</v>
      </c>
      <c r="U37" s="774">
        <f t="shared" si="13"/>
        <v>99</v>
      </c>
      <c r="V37" s="773" t="s">
        <v>17</v>
      </c>
      <c r="W37" s="774">
        <f t="shared" si="14"/>
        <v>98</v>
      </c>
      <c r="X37" s="2964"/>
      <c r="Y37" s="3217"/>
      <c r="Z37" s="2965" t="str">
        <f t="shared" si="15"/>
        <v>成新度</v>
      </c>
      <c r="AA37" s="2963">
        <f t="shared" si="3"/>
        <v>1.0204081632653061</v>
      </c>
      <c r="AB37" s="2963">
        <f t="shared" si="4"/>
        <v>1.0101010101010102</v>
      </c>
      <c r="AC37" s="2672">
        <f t="shared" si="5"/>
        <v>1.0204081632653061</v>
      </c>
    </row>
    <row r="38" spans="1:29" s="116" customFormat="1" ht="15">
      <c r="A38" s="472"/>
      <c r="B38" s="2951" t="s">
        <v>2695</v>
      </c>
      <c r="C38" s="2990" t="s">
        <v>3141</v>
      </c>
      <c r="D38" s="135">
        <v>100</v>
      </c>
      <c r="E38" s="2990" t="s">
        <v>3141</v>
      </c>
      <c r="F38" s="460">
        <f>SUMIF(113:113,E38,114:114)-SUMIF(113:113,C38,114:114)+100</f>
        <v>100</v>
      </c>
      <c r="G38" s="2990" t="s">
        <v>3141</v>
      </c>
      <c r="H38" s="434">
        <f>SUMIF(113:113,G38,114:114)-SUMIF(113:113,C38,114:114)+100</f>
        <v>100</v>
      </c>
      <c r="I38" s="2990" t="s">
        <v>3141</v>
      </c>
      <c r="J38" s="434">
        <f>SUMIF(113:113,I38,114:114)-SUMIF(113:113,C38,114:114)+100</f>
        <v>100</v>
      </c>
      <c r="K38" s="611">
        <v>1</v>
      </c>
      <c r="L38" s="1130"/>
      <c r="M38" s="1131"/>
      <c r="N38" s="1131"/>
      <c r="O38" s="1131"/>
      <c r="P38" s="3215"/>
      <c r="Q38" s="2939" t="str">
        <f t="shared" si="11"/>
        <v>写字楼等级</v>
      </c>
      <c r="R38" s="769" t="s">
        <v>17</v>
      </c>
      <c r="S38" s="770">
        <f t="shared" si="12"/>
        <v>100</v>
      </c>
      <c r="T38" s="769" t="s">
        <v>17</v>
      </c>
      <c r="U38" s="770">
        <f t="shared" si="13"/>
        <v>100</v>
      </c>
      <c r="V38" s="769" t="s">
        <v>17</v>
      </c>
      <c r="W38" s="770">
        <f t="shared" si="14"/>
        <v>100</v>
      </c>
      <c r="X38" s="771"/>
      <c r="Y38" s="3217"/>
      <c r="Z38" s="2941" t="str">
        <f t="shared" si="15"/>
        <v>写字楼等级</v>
      </c>
      <c r="AA38" s="772">
        <f t="shared" si="3"/>
        <v>1</v>
      </c>
      <c r="AB38" s="772">
        <f t="shared" si="4"/>
        <v>1</v>
      </c>
      <c r="AC38" s="2669">
        <f t="shared" si="5"/>
        <v>1</v>
      </c>
    </row>
    <row r="39" spans="1:29" ht="15">
      <c r="A39" s="471"/>
      <c r="B39" s="2951" t="s">
        <v>2696</v>
      </c>
      <c r="C39" s="2990" t="s">
        <v>3142</v>
      </c>
      <c r="D39" s="434">
        <v>100</v>
      </c>
      <c r="E39" s="2990" t="s">
        <v>3142</v>
      </c>
      <c r="F39" s="460">
        <f>SUMIF(115:115,E39,116:116)-SUMIF(115:115,C39,116:116)+100</f>
        <v>100</v>
      </c>
      <c r="G39" s="2990" t="s">
        <v>3142</v>
      </c>
      <c r="H39" s="434">
        <f>SUMIF(115:115,G39,116:116)-SUMIF(115:115,C39,116:116)+100</f>
        <v>100</v>
      </c>
      <c r="I39" s="2990" t="s">
        <v>3142</v>
      </c>
      <c r="J39" s="434">
        <f>SUMIF(115:115,I39,116:116)-SUMIF(115:115,C39,116:116)+100</f>
        <v>100</v>
      </c>
      <c r="K39" s="611">
        <v>1</v>
      </c>
      <c r="L39" s="1138"/>
      <c r="M39" s="1129"/>
      <c r="N39" s="1129"/>
      <c r="O39" s="1129"/>
      <c r="P39" s="3215" t="s">
        <v>2566</v>
      </c>
      <c r="Q39" s="2962" t="str">
        <f t="shared" si="11"/>
        <v>物业管理</v>
      </c>
      <c r="R39" s="773" t="s">
        <v>17</v>
      </c>
      <c r="S39" s="774">
        <f t="shared" si="12"/>
        <v>100</v>
      </c>
      <c r="T39" s="773" t="s">
        <v>17</v>
      </c>
      <c r="U39" s="774">
        <f t="shared" si="13"/>
        <v>100</v>
      </c>
      <c r="V39" s="773" t="s">
        <v>17</v>
      </c>
      <c r="W39" s="774">
        <f t="shared" si="14"/>
        <v>100</v>
      </c>
      <c r="X39" s="2964"/>
      <c r="Y39" s="3217" t="s">
        <v>2566</v>
      </c>
      <c r="Z39" s="2965" t="str">
        <f t="shared" si="15"/>
        <v>物业管理</v>
      </c>
      <c r="AA39" s="2963">
        <f t="shared" si="3"/>
        <v>1</v>
      </c>
      <c r="AB39" s="2963">
        <f t="shared" si="4"/>
        <v>1</v>
      </c>
      <c r="AC39" s="2672">
        <f t="shared" si="5"/>
        <v>1</v>
      </c>
    </row>
    <row r="40" spans="1:29" ht="15">
      <c r="A40" s="471"/>
      <c r="B40" s="2951" t="s">
        <v>2664</v>
      </c>
      <c r="C40" s="2990" t="s">
        <v>3143</v>
      </c>
      <c r="D40" s="434">
        <v>100</v>
      </c>
      <c r="E40" s="2990" t="s">
        <v>3143</v>
      </c>
      <c r="F40" s="460">
        <f>SUMIF(117:117,E40,118:118)-SUMIF(117:117,C40,118:118)+100</f>
        <v>100</v>
      </c>
      <c r="G40" s="2990" t="s">
        <v>3143</v>
      </c>
      <c r="H40" s="434">
        <f>SUMIF(117:117,G40,118:118)-SUMIF(117:117,C40,118:118)+100</f>
        <v>100</v>
      </c>
      <c r="I40" s="2990" t="s">
        <v>3143</v>
      </c>
      <c r="J40" s="434">
        <f>SUMIF(117:117,I40,118:118)-SUMIF(117:117,C40,118:118)+100</f>
        <v>100</v>
      </c>
      <c r="K40" s="611">
        <v>1</v>
      </c>
      <c r="L40" s="1138"/>
      <c r="M40" s="1129"/>
      <c r="N40" s="1129"/>
      <c r="O40" s="1129"/>
      <c r="P40" s="3215"/>
      <c r="Q40" s="2962" t="str">
        <f t="shared" si="11"/>
        <v>市政基础设施</v>
      </c>
      <c r="R40" s="773" t="s">
        <v>17</v>
      </c>
      <c r="S40" s="774">
        <f t="shared" si="12"/>
        <v>100</v>
      </c>
      <c r="T40" s="773" t="s">
        <v>17</v>
      </c>
      <c r="U40" s="774">
        <f t="shared" si="13"/>
        <v>100</v>
      </c>
      <c r="V40" s="773" t="s">
        <v>17</v>
      </c>
      <c r="W40" s="774">
        <f t="shared" si="14"/>
        <v>100</v>
      </c>
      <c r="X40" s="2964"/>
      <c r="Y40" s="3217"/>
      <c r="Z40" s="2965" t="str">
        <f t="shared" si="15"/>
        <v>市政基础设施</v>
      </c>
      <c r="AA40" s="2963">
        <f t="shared" si="3"/>
        <v>1</v>
      </c>
      <c r="AB40" s="2963">
        <f t="shared" si="4"/>
        <v>1</v>
      </c>
      <c r="AC40" s="2672">
        <f t="shared" si="5"/>
        <v>1</v>
      </c>
    </row>
    <row r="41" spans="1:29" ht="15">
      <c r="A41" s="471"/>
      <c r="B41" s="2951" t="s">
        <v>2666</v>
      </c>
      <c r="C41" s="2991" t="s">
        <v>3144</v>
      </c>
      <c r="D41" s="434">
        <v>100</v>
      </c>
      <c r="E41" s="2991" t="s">
        <v>3144</v>
      </c>
      <c r="F41" s="460">
        <f>SUMIF(119:119,E41,120:120)-SUMIF(119:119,C41,120:120)+100</f>
        <v>100</v>
      </c>
      <c r="G41" s="2991" t="s">
        <v>3144</v>
      </c>
      <c r="H41" s="434">
        <f>SUMIF(119:119,G41,120:120)-SUMIF(119:119,C41,120:120)+100</f>
        <v>100</v>
      </c>
      <c r="I41" s="2991" t="s">
        <v>3144</v>
      </c>
      <c r="J41" s="434">
        <f>SUMIF(119:119,I41,120:120)-SUMIF(119:119,C41,120:120)+100</f>
        <v>100</v>
      </c>
      <c r="K41" s="611">
        <v>2</v>
      </c>
      <c r="L41" s="1138"/>
      <c r="M41" s="1129"/>
      <c r="N41" s="1129"/>
      <c r="O41" s="1129"/>
      <c r="P41" s="3215"/>
      <c r="Q41" s="2962" t="str">
        <f t="shared" si="11"/>
        <v>层高</v>
      </c>
      <c r="R41" s="773" t="s">
        <v>17</v>
      </c>
      <c r="S41" s="774">
        <f t="shared" si="12"/>
        <v>100</v>
      </c>
      <c r="T41" s="773" t="s">
        <v>17</v>
      </c>
      <c r="U41" s="774">
        <f t="shared" si="13"/>
        <v>100</v>
      </c>
      <c r="V41" s="773" t="s">
        <v>17</v>
      </c>
      <c r="W41" s="774">
        <f t="shared" si="14"/>
        <v>100</v>
      </c>
      <c r="X41" s="2964"/>
      <c r="Y41" s="3217"/>
      <c r="Z41" s="2965" t="str">
        <f t="shared" si="15"/>
        <v>层高</v>
      </c>
      <c r="AA41" s="2963">
        <f t="shared" si="3"/>
        <v>1</v>
      </c>
      <c r="AB41" s="2963">
        <f t="shared" si="4"/>
        <v>1</v>
      </c>
      <c r="AC41" s="2672">
        <f t="shared" si="5"/>
        <v>1</v>
      </c>
    </row>
    <row r="42" spans="1:29" s="470" customFormat="1" ht="15">
      <c r="A42" s="467"/>
      <c r="B42" s="296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2963">
        <f t="shared" si="3"/>
        <v>1</v>
      </c>
      <c r="AB42" s="2963">
        <f t="shared" si="4"/>
        <v>1</v>
      </c>
      <c r="AC42" s="2672">
        <f t="shared" si="5"/>
        <v>1</v>
      </c>
    </row>
    <row r="43" spans="1:29" ht="15">
      <c r="A43" s="471"/>
      <c r="B43" s="2951" t="s">
        <v>2669</v>
      </c>
      <c r="C43" s="2990" t="s">
        <v>3145</v>
      </c>
      <c r="D43" s="434">
        <v>100</v>
      </c>
      <c r="E43" s="2990" t="s">
        <v>3140</v>
      </c>
      <c r="F43" s="460">
        <f>SUMIF(123:123,E43,124:124)-SUMIF(123:123,C43,124:124)+100</f>
        <v>102</v>
      </c>
      <c r="G43" s="2990" t="s">
        <v>3140</v>
      </c>
      <c r="H43" s="434">
        <f>SUMIF(123:123,G43,124:124)-SUMIF(123:123,C43,124:124)+100</f>
        <v>102</v>
      </c>
      <c r="I43" s="2990" t="s">
        <v>3190</v>
      </c>
      <c r="J43" s="434">
        <f>SUMIF(123:123,I43,124:124)-SUMIF(123:123,C43,124:124)+100</f>
        <v>96</v>
      </c>
      <c r="K43" s="611">
        <v>2</v>
      </c>
      <c r="L43" s="1138"/>
      <c r="M43" s="1129"/>
      <c r="N43" s="1129"/>
      <c r="O43" s="1129"/>
      <c r="P43" s="3215"/>
      <c r="Q43" s="2962" t="str">
        <f t="shared" si="11"/>
        <v>内部装修</v>
      </c>
      <c r="R43" s="773" t="s">
        <v>17</v>
      </c>
      <c r="S43" s="774">
        <f t="shared" si="12"/>
        <v>102</v>
      </c>
      <c r="T43" s="773" t="s">
        <v>17</v>
      </c>
      <c r="U43" s="774">
        <f t="shared" si="13"/>
        <v>102</v>
      </c>
      <c r="V43" s="773" t="s">
        <v>17</v>
      </c>
      <c r="W43" s="774">
        <f t="shared" si="14"/>
        <v>96</v>
      </c>
      <c r="X43" s="2964"/>
      <c r="Y43" s="3217"/>
      <c r="Z43" s="2965" t="str">
        <f t="shared" si="15"/>
        <v>内部装修</v>
      </c>
      <c r="AA43" s="2963">
        <f t="shared" si="3"/>
        <v>0.98039215686274506</v>
      </c>
      <c r="AB43" s="2963">
        <f t="shared" si="4"/>
        <v>0.98039215686274506</v>
      </c>
      <c r="AC43" s="2672">
        <f t="shared" si="5"/>
        <v>1.0416666666666667</v>
      </c>
    </row>
    <row r="44" spans="1:29" ht="15">
      <c r="A44" s="471"/>
      <c r="B44" s="2951" t="s">
        <v>2577</v>
      </c>
      <c r="C44" s="2990" t="s">
        <v>3119</v>
      </c>
      <c r="D44" s="434">
        <v>100</v>
      </c>
      <c r="E44" s="2992" t="s">
        <v>3119</v>
      </c>
      <c r="F44" s="460">
        <f>SUMIF(125:125,E44,126:126)-SUMIF(125:125,C44,126:126)+100</f>
        <v>100</v>
      </c>
      <c r="G44" s="2992" t="s">
        <v>3119</v>
      </c>
      <c r="H44" s="434">
        <f>SUMIF(125:125,G44,126:126)-SUMIF(125:125,C44,126:126)+100</f>
        <v>100</v>
      </c>
      <c r="I44" s="2992" t="s">
        <v>3119</v>
      </c>
      <c r="J44" s="434">
        <f>SUMIF(125:125,I44,126:126)-SUMIF(125:125,C44,126:126)+100</f>
        <v>100</v>
      </c>
      <c r="K44" s="611">
        <v>2</v>
      </c>
      <c r="L44" s="1138"/>
      <c r="M44" s="1129"/>
      <c r="N44" s="1129"/>
      <c r="O44" s="1129"/>
      <c r="P44" s="3215"/>
      <c r="Q44" s="2962" t="str">
        <f t="shared" si="11"/>
        <v>内部装修维护情况</v>
      </c>
      <c r="R44" s="773" t="s">
        <v>17</v>
      </c>
      <c r="S44" s="774">
        <f t="shared" si="12"/>
        <v>100</v>
      </c>
      <c r="T44" s="773" t="s">
        <v>17</v>
      </c>
      <c r="U44" s="774">
        <f t="shared" si="13"/>
        <v>100</v>
      </c>
      <c r="V44" s="773" t="s">
        <v>17</v>
      </c>
      <c r="W44" s="774">
        <f t="shared" si="14"/>
        <v>100</v>
      </c>
      <c r="X44" s="2964"/>
      <c r="Y44" s="3217"/>
      <c r="Z44" s="2965" t="str">
        <f t="shared" si="15"/>
        <v>内部装修维护情况</v>
      </c>
      <c r="AA44" s="2963">
        <f t="shared" si="3"/>
        <v>1</v>
      </c>
      <c r="AB44" s="2963">
        <f t="shared" si="4"/>
        <v>1</v>
      </c>
      <c r="AC44" s="2672">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5"/>
      <c r="Q45" s="2939">
        <f t="shared" si="11"/>
        <v>111</v>
      </c>
      <c r="R45" s="769" t="s">
        <v>17</v>
      </c>
      <c r="S45" s="770">
        <f t="shared" si="12"/>
        <v>100</v>
      </c>
      <c r="T45" s="769" t="s">
        <v>17</v>
      </c>
      <c r="U45" s="770">
        <f t="shared" si="13"/>
        <v>100</v>
      </c>
      <c r="V45" s="769" t="s">
        <v>17</v>
      </c>
      <c r="W45" s="770">
        <f t="shared" si="14"/>
        <v>100</v>
      </c>
      <c r="X45" s="771"/>
      <c r="Y45" s="3217"/>
      <c r="Z45" s="2941">
        <f t="shared" si="15"/>
        <v>111</v>
      </c>
      <c r="AA45" s="772">
        <f t="shared" si="3"/>
        <v>1</v>
      </c>
      <c r="AB45" s="772">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5"/>
      <c r="Q46" s="2962">
        <f t="shared" si="11"/>
        <v>111</v>
      </c>
      <c r="R46" s="773" t="s">
        <v>17</v>
      </c>
      <c r="S46" s="774">
        <f t="shared" si="12"/>
        <v>100</v>
      </c>
      <c r="T46" s="773" t="s">
        <v>17</v>
      </c>
      <c r="U46" s="774">
        <f t="shared" si="13"/>
        <v>100</v>
      </c>
      <c r="V46" s="773" t="s">
        <v>17</v>
      </c>
      <c r="W46" s="774">
        <f t="shared" si="14"/>
        <v>100</v>
      </c>
      <c r="X46" s="2964"/>
      <c r="Y46" s="3217"/>
      <c r="Z46" s="2965">
        <f t="shared" si="15"/>
        <v>111</v>
      </c>
      <c r="AA46" s="2963">
        <f t="shared" si="3"/>
        <v>1</v>
      </c>
      <c r="AB46" s="296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6"/>
      <c r="Q47" s="2962">
        <f t="shared" si="11"/>
        <v>111</v>
      </c>
      <c r="R47" s="773" t="s">
        <v>17</v>
      </c>
      <c r="S47" s="774">
        <f t="shared" si="12"/>
        <v>100</v>
      </c>
      <c r="T47" s="773" t="s">
        <v>17</v>
      </c>
      <c r="U47" s="774">
        <f t="shared" si="13"/>
        <v>100</v>
      </c>
      <c r="V47" s="773" t="s">
        <v>17</v>
      </c>
      <c r="W47" s="774">
        <f t="shared" si="14"/>
        <v>100</v>
      </c>
      <c r="X47" s="2964"/>
      <c r="Y47" s="3218"/>
      <c r="Z47" s="2965">
        <f t="shared" si="15"/>
        <v>111</v>
      </c>
      <c r="AA47" s="2963">
        <f t="shared" si="3"/>
        <v>1</v>
      </c>
      <c r="AB47" s="2963">
        <f t="shared" si="4"/>
        <v>1</v>
      </c>
      <c r="AC47" s="2672">
        <f t="shared" si="5"/>
        <v>1</v>
      </c>
    </row>
    <row r="48" spans="1:29" ht="15">
      <c r="A48" s="478" t="s">
        <v>2578</v>
      </c>
      <c r="B48" s="479"/>
      <c r="C48" s="1405" t="s">
        <v>1</v>
      </c>
      <c r="D48" s="1406"/>
      <c r="E48" s="1407">
        <v>5.5</v>
      </c>
      <c r="F48" s="1408"/>
      <c r="G48" s="1409">
        <v>5.2</v>
      </c>
      <c r="H48" s="1410"/>
      <c r="I48" s="1407">
        <v>5.5</v>
      </c>
      <c r="J48" s="484"/>
      <c r="K48" s="782"/>
      <c r="L48" s="1141"/>
      <c r="M48" s="1129"/>
      <c r="N48" s="1129"/>
      <c r="O48" s="1129"/>
      <c r="P48" s="3204" t="str">
        <f>A48</f>
        <v>成交单价（元/平方米）</v>
      </c>
      <c r="Q48" s="3205"/>
      <c r="R48" s="3206">
        <f>E48</f>
        <v>5.5</v>
      </c>
      <c r="S48" s="3206"/>
      <c r="T48" s="3206">
        <f>G48</f>
        <v>5.2</v>
      </c>
      <c r="U48" s="3206"/>
      <c r="V48" s="3206">
        <f>I48</f>
        <v>5.5</v>
      </c>
      <c r="W48" s="3206"/>
      <c r="X48" s="445"/>
      <c r="Y48" s="780"/>
      <c r="Z48" s="445"/>
      <c r="AA48" s="445"/>
      <c r="AB48" s="445"/>
      <c r="AC48" s="629"/>
    </row>
    <row r="49" spans="1:29" ht="15.75" thickBot="1">
      <c r="A49" s="485" t="s">
        <v>2670</v>
      </c>
      <c r="B49" s="486"/>
      <c r="C49" s="1411">
        <f>R50</f>
        <v>5.5</v>
      </c>
      <c r="D49" s="1412"/>
      <c r="E49" s="1413">
        <f>R49</f>
        <v>5.3</v>
      </c>
      <c r="F49" s="1413"/>
      <c r="G49" s="1411">
        <f>T49</f>
        <v>5.6</v>
      </c>
      <c r="H49" s="1412"/>
      <c r="I49" s="1413">
        <f>V49</f>
        <v>5.7</v>
      </c>
      <c r="J49" s="488"/>
      <c r="K49" s="783"/>
      <c r="L49" s="1141"/>
      <c r="M49" s="1129"/>
      <c r="N49" s="1129"/>
      <c r="O49" s="1129"/>
      <c r="P49" s="3204" t="str">
        <f>A49</f>
        <v>比较价值（元/平方米）</v>
      </c>
      <c r="Q49" s="3205"/>
      <c r="R49" s="3206">
        <f>IF(F1="售价",ROUND(PRODUCT(R48,AA7:AA47),0),ROUND(PRODUCT(R48,AA7:AA47),1))</f>
        <v>5.3</v>
      </c>
      <c r="S49" s="3206"/>
      <c r="T49" s="3206">
        <f>IF(F1="售价",ROUND(PRODUCT(T48,AB7:AB47),0),ROUND(PRODUCT(T48,AB7:AB47),1))</f>
        <v>5.6</v>
      </c>
      <c r="U49" s="3206"/>
      <c r="V49" s="3206">
        <f>IF(F1="售价",ROUND(PRODUCT(V48,AC7:AC47),0),ROUND(PRODUCT(V48,AC7:AC47),1))</f>
        <v>5.7</v>
      </c>
      <c r="W49" s="3206"/>
      <c r="X49" s="445"/>
      <c r="Y49" s="445"/>
      <c r="Z49" s="445"/>
      <c r="AA49" s="445"/>
      <c r="AB49" s="445"/>
      <c r="AC49" s="629"/>
    </row>
    <row r="50" spans="1:29" ht="15.75" thickBot="1">
      <c r="A50" s="491" t="s">
        <v>2671</v>
      </c>
      <c r="B50" s="492"/>
      <c r="C50" s="1415">
        <f>R50</f>
        <v>5.5</v>
      </c>
      <c r="D50" s="1415"/>
      <c r="E50" s="1415"/>
      <c r="F50" s="1415"/>
      <c r="G50" s="1415"/>
      <c r="H50" s="1415"/>
      <c r="I50" s="1415"/>
      <c r="J50" s="493"/>
      <c r="K50" s="784"/>
      <c r="L50" s="1141"/>
      <c r="M50" s="1129"/>
      <c r="N50" s="1129"/>
      <c r="O50" s="1129"/>
      <c r="P50" s="3207" t="str">
        <f>A50</f>
        <v>估价对象XX用房的比较价值（楼面单价，元/平方米）</v>
      </c>
      <c r="Q50" s="3208"/>
      <c r="R50" s="3209">
        <f>IF(F1="售价",ROUND(AVERAGE(R49:V49),0),ROUND(AVERAGE(R49:V49),1))</f>
        <v>5.5</v>
      </c>
      <c r="S50" s="3209"/>
      <c r="T50" s="3209"/>
      <c r="U50" s="3209"/>
      <c r="V50" s="3209"/>
      <c r="W50" s="3209"/>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f>IF(E48&lt;E49,E49/E48-1,E48/E49-1)</f>
        <v>3.7735849056603765E-2</v>
      </c>
      <c r="F53" s="499" t="str">
        <f>IF(OR(E53&gt;=0.3,E53&lt;=-0.3),"超过30%","")</f>
        <v/>
      </c>
      <c r="G53" s="498">
        <f>IF(G48&lt;G49,G49/G48-1,G48/G49-1)</f>
        <v>7.6923076923076872E-2</v>
      </c>
      <c r="H53" s="499" t="str">
        <f>IF(OR(G53&gt;=0.3,G53&lt;=-0.3),"超过30%","")</f>
        <v/>
      </c>
      <c r="I53" s="498">
        <f>IF(I48&lt;I49,I49/I48-1,I48/I49-1)</f>
        <v>3.6363636363636376E-2</v>
      </c>
      <c r="J53" s="499" t="str">
        <f>IF(OR(I53&gt;=0.3,I53&lt;=-0.3),"超过30%","")</f>
        <v/>
      </c>
      <c r="K53" s="1103"/>
      <c r="L53" s="1104"/>
      <c r="M53" s="1142"/>
      <c r="N53" s="1142"/>
      <c r="O53" s="1142"/>
    </row>
    <row r="54" spans="1:29" ht="13.5" customHeight="1">
      <c r="A54" s="1142"/>
      <c r="B54" s="1142"/>
      <c r="C54" s="496" t="s">
        <v>2673</v>
      </c>
      <c r="D54" s="500"/>
      <c r="E54" s="498">
        <f>IF(E49&lt;G49,G49/E49-1,E49/G49-1)</f>
        <v>5.6603773584905648E-2</v>
      </c>
      <c r="F54" s="499" t="str">
        <f>IF(OR(E54&gt;=0.2,E54&lt;=-0.2),"超过20%","")</f>
        <v/>
      </c>
      <c r="G54" s="498">
        <f>IF(G49&lt;I49,I49/G49-1,G49/I49-1)</f>
        <v>1.7857142857143016E-2</v>
      </c>
      <c r="H54" s="499" t="str">
        <f>IF(OR(G54&gt;=0.2,G54&lt;=-0.2),"超过20%","")</f>
        <v/>
      </c>
      <c r="I54" s="498">
        <f>IF(I49&lt;E49,E49/I49-1,I49/E49-1)</f>
        <v>7.547169811320753E-2</v>
      </c>
      <c r="J54" s="499" t="str">
        <f>IF(OR(I54&gt;=0.2,I54&lt;=-0.2),"超过20%","")</f>
        <v/>
      </c>
      <c r="K54" s="1103"/>
      <c r="L54" s="1104"/>
      <c r="M54" s="1142"/>
      <c r="N54" s="1142"/>
      <c r="O54" s="1142"/>
    </row>
    <row r="55" spans="1:29" s="501" customFormat="1" ht="13.5" customHeight="1">
      <c r="A55" s="1143"/>
      <c r="B55" s="1143"/>
      <c r="C55" s="496" t="s">
        <v>2674</v>
      </c>
      <c r="D55" s="500"/>
      <c r="E55" s="498">
        <f>IF(E48&lt;G48,G48/E48-1,E48/G48-1)</f>
        <v>5.7692307692307709E-2</v>
      </c>
      <c r="F55" s="499" t="str">
        <f>IF(OR(E55&gt;=0.3,E55&lt;=-0.3),"超过30%","")</f>
        <v/>
      </c>
      <c r="G55" s="498">
        <f>IF(G48&lt;I48,I48/G48-1,G48/I48-1)</f>
        <v>5.7692307692307709E-2</v>
      </c>
      <c r="H55" s="499" t="str">
        <f>IF(OR(G55&gt;=0.3,G55&lt;=-0.3),"超过30%","")</f>
        <v/>
      </c>
      <c r="I55" s="498">
        <f>IF(I48&lt;E48,E48/I48-1,I48/E48-1)</f>
        <v>0</v>
      </c>
      <c r="J55" s="499" t="str">
        <f>IF(OR(I55&gt;=0.3,I55&lt;=-0.3),"超过30%","")</f>
        <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2" t="s">
        <v>2675</v>
      </c>
      <c r="B58" s="758"/>
      <c r="C58" s="763"/>
      <c r="D58" s="763"/>
      <c r="E58" s="763"/>
      <c r="F58" s="764"/>
      <c r="G58" s="764"/>
      <c r="H58" s="763"/>
      <c r="I58" s="763"/>
      <c r="J58" s="763"/>
      <c r="K58" s="765"/>
      <c r="L58" s="1159"/>
      <c r="M58" s="1157"/>
      <c r="N58" s="1157"/>
      <c r="O58" s="1157"/>
      <c r="P58" s="2678"/>
      <c r="Q58" s="503"/>
    </row>
    <row r="59" spans="1:29" s="507" customFormat="1" ht="15">
      <c r="A59" s="504" t="s">
        <v>2549</v>
      </c>
      <c r="B59" s="505"/>
      <c r="C59" s="1572" t="str">
        <f>YEAR(C7)&amp;"-"&amp;MONTH(C7)</f>
        <v>2018-5</v>
      </c>
      <c r="D59" s="1573">
        <f>EDATE(C59,-1)</f>
        <v>43191</v>
      </c>
      <c r="E59" s="1573">
        <f>EDATE(D59,-1)</f>
        <v>43160</v>
      </c>
      <c r="F59" s="1573">
        <f t="shared" ref="F59:O59" si="16">EDATE(E59,-1)</f>
        <v>43132</v>
      </c>
      <c r="G59" s="1573">
        <f t="shared" si="16"/>
        <v>43101</v>
      </c>
      <c r="H59" s="1573">
        <f t="shared" si="16"/>
        <v>43070</v>
      </c>
      <c r="I59" s="1573">
        <f t="shared" si="16"/>
        <v>43040</v>
      </c>
      <c r="J59" s="1573">
        <f t="shared" si="16"/>
        <v>43009</v>
      </c>
      <c r="K59" s="1573">
        <f t="shared" si="16"/>
        <v>42979</v>
      </c>
      <c r="L59" s="1573">
        <f t="shared" si="16"/>
        <v>42948</v>
      </c>
      <c r="M59" s="1573">
        <f t="shared" si="16"/>
        <v>42917</v>
      </c>
      <c r="N59" s="1573">
        <f t="shared" si="16"/>
        <v>42887</v>
      </c>
      <c r="O59" s="1573">
        <f t="shared" si="16"/>
        <v>42856</v>
      </c>
      <c r="P59" s="1569"/>
    </row>
    <row r="60" spans="1:29" s="116" customFormat="1" ht="15">
      <c r="A60" s="508"/>
      <c r="B60" s="509"/>
      <c r="C60" s="1571">
        <v>100</v>
      </c>
      <c r="D60" s="511"/>
      <c r="E60" s="511"/>
      <c r="F60" s="511"/>
      <c r="G60" s="511"/>
      <c r="H60" s="511"/>
      <c r="I60" s="511"/>
      <c r="J60" s="511"/>
      <c r="K60" s="511"/>
      <c r="L60" s="511"/>
      <c r="M60" s="512"/>
      <c r="N60" s="511"/>
      <c r="O60" s="512"/>
      <c r="P60" s="2679"/>
    </row>
    <row r="61" spans="1:29" s="116" customFormat="1" ht="15.75" thickBot="1">
      <c r="A61" s="514" t="s">
        <v>2586</v>
      </c>
      <c r="B61" s="515"/>
      <c r="C61" s="516"/>
      <c r="D61" s="517"/>
      <c r="E61" s="517"/>
      <c r="F61" s="517"/>
      <c r="G61" s="517"/>
      <c r="H61" s="517"/>
      <c r="I61" s="517"/>
      <c r="J61" s="517"/>
      <c r="K61" s="517"/>
      <c r="L61" s="517"/>
      <c r="M61" s="518"/>
      <c r="N61" s="517"/>
      <c r="O61" s="518"/>
      <c r="P61" s="2679"/>
      <c r="Q61" s="503"/>
    </row>
    <row r="62" spans="1:29" s="116" customFormat="1" ht="15">
      <c r="A62" s="520" t="s">
        <v>2551</v>
      </c>
      <c r="B62" s="509"/>
      <c r="C62" s="521" t="s">
        <v>2653</v>
      </c>
      <c r="D62" s="522"/>
      <c r="E62" s="522"/>
      <c r="F62" s="522"/>
      <c r="G62" s="522"/>
      <c r="H62" s="522"/>
      <c r="I62" s="522"/>
      <c r="J62" s="522"/>
      <c r="K62" s="522"/>
      <c r="L62" s="523"/>
      <c r="M62" s="524"/>
      <c r="N62" s="1149"/>
      <c r="O62" s="1149"/>
      <c r="P62" s="2680"/>
      <c r="Q62" s="503"/>
    </row>
    <row r="63" spans="1:29" s="116"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2589</v>
      </c>
      <c r="B64" s="527" t="s">
        <v>2555</v>
      </c>
      <c r="C64" s="528" t="str">
        <f>C9</f>
        <v>办公</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81"/>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1"/>
      <c r="O67" s="1151"/>
      <c r="P67" s="2681"/>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3（含）-4</v>
      </c>
      <c r="G68" s="546" t="str">
        <f t="shared" si="17"/>
        <v>4（含）-5</v>
      </c>
      <c r="H68" s="546" t="str">
        <f t="shared" si="17"/>
        <v>5（含）-6</v>
      </c>
      <c r="I68" s="546" t="str">
        <f t="shared" si="17"/>
        <v>6（含）-7</v>
      </c>
      <c r="J68" s="546" t="str">
        <f t="shared" si="17"/>
        <v>7（含）-8</v>
      </c>
      <c r="K68" s="546" t="str">
        <f t="shared" si="17"/>
        <v>8（含）-</v>
      </c>
      <c r="L68" s="546" t="str">
        <f t="shared" si="17"/>
        <v>（含）-</v>
      </c>
      <c r="M68" s="447" t="str">
        <f>M69&amp;"（含）"&amp;"-"&amp;P69</f>
        <v>（含）-</v>
      </c>
      <c r="N68" s="1151"/>
      <c r="O68" s="1151"/>
      <c r="P68" s="2681"/>
      <c r="Q68" s="503"/>
    </row>
    <row r="69" spans="1:17" ht="15">
      <c r="A69" s="533"/>
      <c r="B69" s="547"/>
      <c r="C69" s="548">
        <v>0</v>
      </c>
      <c r="D69" s="548">
        <v>1</v>
      </c>
      <c r="E69" s="548">
        <v>2</v>
      </c>
      <c r="F69" s="548">
        <v>3</v>
      </c>
      <c r="G69" s="548">
        <v>4</v>
      </c>
      <c r="H69" s="548">
        <v>5</v>
      </c>
      <c r="I69" s="548">
        <v>6</v>
      </c>
      <c r="J69" s="548">
        <v>7</v>
      </c>
      <c r="K69" s="549">
        <v>8</v>
      </c>
      <c r="L69" s="550"/>
      <c r="M69" s="551"/>
      <c r="N69" s="1150"/>
      <c r="O69" s="1150"/>
      <c r="P69" s="2681"/>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5"/>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1"/>
      <c r="O78" s="1151"/>
      <c r="P78" s="2681"/>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81"/>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1"/>
      <c r="O80" s="1151"/>
      <c r="P80" s="2681"/>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81"/>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1"/>
      <c r="O82" s="1151"/>
      <c r="P82" s="2681"/>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81"/>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1"/>
      <c r="O84" s="1151"/>
      <c r="P84" s="2681"/>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81"/>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1"/>
      <c r="O86" s="1151"/>
      <c r="P86" s="2681"/>
      <c r="Q86" s="503"/>
    </row>
    <row r="87" spans="1:17" s="116" customFormat="1" ht="27.75" thickTop="1">
      <c r="A87" s="578"/>
      <c r="B87" s="537" t="s">
        <v>2700</v>
      </c>
      <c r="C87" s="2973" t="s">
        <v>3078</v>
      </c>
      <c r="D87" s="2973" t="s">
        <v>3079</v>
      </c>
      <c r="E87" s="2973" t="s">
        <v>3080</v>
      </c>
      <c r="F87" s="2973" t="s">
        <v>3081</v>
      </c>
      <c r="G87" s="2973" t="s">
        <v>3082</v>
      </c>
      <c r="H87" s="553"/>
      <c r="I87" s="553"/>
      <c r="J87" s="553"/>
      <c r="K87" s="553"/>
      <c r="L87" s="579"/>
      <c r="M87" s="580"/>
      <c r="N87" s="1149"/>
      <c r="O87" s="1149"/>
      <c r="P87" s="2681"/>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81"/>
      <c r="Q88" s="503"/>
    </row>
    <row r="89" spans="1:17" s="116" customFormat="1" ht="15.75" thickTop="1">
      <c r="A89" s="578"/>
      <c r="B89" s="537" t="str">
        <f>B27</f>
        <v>楼层</v>
      </c>
      <c r="C89" s="2973" t="s">
        <v>3083</v>
      </c>
      <c r="D89" s="2973" t="s">
        <v>3084</v>
      </c>
      <c r="E89" s="2973" t="s">
        <v>3085</v>
      </c>
      <c r="F89" s="2633"/>
      <c r="G89" s="553"/>
      <c r="H89" s="553"/>
      <c r="I89" s="553"/>
      <c r="J89" s="553"/>
      <c r="K89" s="553"/>
      <c r="L89" s="553"/>
      <c r="M89" s="580"/>
      <c r="N89" s="1149"/>
      <c r="O89" s="1149"/>
      <c r="P89" s="2681"/>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81"/>
      <c r="Q90" s="503"/>
    </row>
    <row r="91" spans="1:17" s="470" customFormat="1" ht="15.75" thickTop="1">
      <c r="A91" s="552"/>
      <c r="B91" s="537" t="str">
        <f>B28</f>
        <v>朝向</v>
      </c>
      <c r="C91" s="2973" t="s">
        <v>3086</v>
      </c>
      <c r="D91" s="2973" t="s">
        <v>3087</v>
      </c>
      <c r="E91" s="2973" t="s">
        <v>3088</v>
      </c>
      <c r="F91" s="2973" t="s">
        <v>3089</v>
      </c>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4"/>
      <c r="B100" s="568"/>
      <c r="C100" s="569"/>
      <c r="D100" s="569"/>
      <c r="E100" s="569"/>
      <c r="F100" s="569"/>
      <c r="G100" s="590"/>
      <c r="H100" s="590"/>
      <c r="I100" s="590"/>
      <c r="J100" s="590"/>
      <c r="K100" s="590"/>
      <c r="L100" s="590"/>
      <c r="M100" s="591"/>
      <c r="N100" s="1151"/>
      <c r="O100" s="1151"/>
      <c r="P100" s="2681"/>
      <c r="Q100" s="503"/>
    </row>
    <row r="101" spans="1:17">
      <c r="A101" s="526" t="s">
        <v>2564</v>
      </c>
      <c r="B101" s="527" t="s">
        <v>2613</v>
      </c>
      <c r="C101" s="2974" t="s">
        <v>3090</v>
      </c>
      <c r="D101" s="2974" t="s">
        <v>3091</v>
      </c>
      <c r="E101" s="2974" t="s">
        <v>3092</v>
      </c>
      <c r="F101" s="2974" t="s">
        <v>3093</v>
      </c>
      <c r="G101" s="2974" t="s">
        <v>3094</v>
      </c>
      <c r="H101" s="2974" t="s">
        <v>3095</v>
      </c>
      <c r="I101" s="529"/>
      <c r="J101" s="529"/>
      <c r="K101" s="530"/>
      <c r="L101" s="531"/>
      <c r="M101" s="532"/>
      <c r="N101" s="1150"/>
      <c r="O101" s="1150"/>
      <c r="P101" s="2681"/>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51"/>
      <c r="O102" s="1151"/>
      <c r="P102" s="2681"/>
      <c r="Q102" s="503"/>
    </row>
    <row r="103" spans="1:17" ht="29.25" thickTop="1">
      <c r="A103" s="533"/>
      <c r="B103" s="537" t="s">
        <v>2614</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400000(含)-500000</v>
      </c>
      <c r="H103" s="577" t="str">
        <f t="shared" si="23"/>
        <v>500000(含)-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v>0</v>
      </c>
      <c r="D104" s="594">
        <v>100000</v>
      </c>
      <c r="E104" s="594">
        <v>200000</v>
      </c>
      <c r="F104" s="594">
        <v>300000</v>
      </c>
      <c r="G104" s="594">
        <v>400000</v>
      </c>
      <c r="H104" s="594">
        <v>500000</v>
      </c>
      <c r="I104" s="594"/>
      <c r="J104" s="595"/>
      <c r="K104" s="595"/>
      <c r="L104" s="596"/>
      <c r="M104" s="597"/>
      <c r="N104" s="1152"/>
      <c r="O104" s="1152"/>
      <c r="P104" s="2682"/>
      <c r="Q104" s="558"/>
    </row>
    <row r="105" spans="1:17" s="470" customFormat="1" ht="15.75" thickBot="1">
      <c r="A105" s="552"/>
      <c r="B105" s="542"/>
      <c r="C105" s="559">
        <v>100</v>
      </c>
      <c r="D105" s="535">
        <v>101</v>
      </c>
      <c r="E105" s="535">
        <v>102</v>
      </c>
      <c r="F105" s="559">
        <v>103</v>
      </c>
      <c r="G105" s="535">
        <v>104</v>
      </c>
      <c r="H105" s="535">
        <v>105</v>
      </c>
      <c r="I105" s="535"/>
      <c r="J105" s="535"/>
      <c r="K105" s="535"/>
      <c r="L105" s="535"/>
      <c r="M105" s="536"/>
      <c r="N105" s="1151"/>
      <c r="O105" s="1151"/>
      <c r="P105" s="2682"/>
      <c r="Q105" s="558"/>
    </row>
    <row r="106" spans="1:17" ht="15" thickTop="1">
      <c r="A106" s="598"/>
      <c r="B106" s="537" t="s">
        <v>2615</v>
      </c>
      <c r="C106" s="2973" t="s">
        <v>3096</v>
      </c>
      <c r="D106" s="2973" t="s">
        <v>3097</v>
      </c>
      <c r="E106" s="2975" t="s">
        <v>3098</v>
      </c>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1"/>
      <c r="O107" s="1151"/>
      <c r="P107" s="2681"/>
      <c r="Q107" s="503"/>
    </row>
    <row r="108" spans="1:17" ht="15" thickTop="1">
      <c r="A108" s="598"/>
      <c r="B108" s="537" t="s">
        <v>2617</v>
      </c>
      <c r="C108" s="2973" t="s">
        <v>3099</v>
      </c>
      <c r="D108" s="2973" t="s">
        <v>3100</v>
      </c>
      <c r="E108" s="2973" t="s">
        <v>3101</v>
      </c>
      <c r="F108" s="2975" t="s">
        <v>3102</v>
      </c>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81"/>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51"/>
      <c r="O112" s="1151"/>
      <c r="P112" s="2681"/>
      <c r="Q112" s="503"/>
    </row>
    <row r="113" spans="1:17" s="470" customFormat="1" ht="15" thickTop="1">
      <c r="A113" s="592"/>
      <c r="B113" s="537" t="s">
        <v>2701</v>
      </c>
      <c r="C113" s="2973" t="s">
        <v>3103</v>
      </c>
      <c r="D113" s="2973" t="s">
        <v>3104</v>
      </c>
      <c r="E113" s="2973" t="s">
        <v>3105</v>
      </c>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99</v>
      </c>
      <c r="E114" s="543">
        <f t="shared" ref="E114:M114" si="27">D114-$K38</f>
        <v>98</v>
      </c>
      <c r="F114" s="543">
        <f t="shared" si="27"/>
        <v>97</v>
      </c>
      <c r="G114" s="543">
        <f t="shared" si="27"/>
        <v>96</v>
      </c>
      <c r="H114" s="543">
        <f t="shared" si="27"/>
        <v>95</v>
      </c>
      <c r="I114" s="543">
        <f t="shared" si="27"/>
        <v>94</v>
      </c>
      <c r="J114" s="543">
        <f t="shared" si="27"/>
        <v>93</v>
      </c>
      <c r="K114" s="543">
        <f t="shared" si="27"/>
        <v>92</v>
      </c>
      <c r="L114" s="543">
        <f t="shared" si="27"/>
        <v>91</v>
      </c>
      <c r="M114" s="543">
        <f t="shared" si="27"/>
        <v>90</v>
      </c>
      <c r="N114" s="1152"/>
      <c r="O114" s="1152"/>
      <c r="P114" s="2682"/>
      <c r="Q114" s="558"/>
    </row>
    <row r="115" spans="1:17" ht="15" thickTop="1">
      <c r="A115" s="598"/>
      <c r="B115" s="537" t="s">
        <v>2618</v>
      </c>
      <c r="C115" s="2973" t="s">
        <v>3106</v>
      </c>
      <c r="D115" s="2973" t="s">
        <v>3107</v>
      </c>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81"/>
      <c r="Q116" s="503"/>
    </row>
    <row r="117" spans="1:17" ht="15" thickTop="1">
      <c r="A117" s="598"/>
      <c r="B117" s="537" t="s">
        <v>2619</v>
      </c>
      <c r="C117" s="2973" t="s">
        <v>3108</v>
      </c>
      <c r="D117" s="2973" t="s">
        <v>3109</v>
      </c>
      <c r="E117" s="2973" t="s">
        <v>3110</v>
      </c>
      <c r="F117" s="2973" t="s">
        <v>3111</v>
      </c>
      <c r="G117" s="2973" t="s">
        <v>3112</v>
      </c>
      <c r="H117" s="582"/>
      <c r="I117" s="582"/>
      <c r="J117" s="582"/>
      <c r="K117" s="583"/>
      <c r="L117" s="584"/>
      <c r="M117" s="585"/>
      <c r="N117" s="1150"/>
      <c r="O117" s="1150"/>
      <c r="P117" s="2681"/>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1"/>
      <c r="O118" s="1151"/>
      <c r="P118" s="2681"/>
      <c r="Q118" s="503"/>
    </row>
    <row r="119" spans="1:17" ht="15" thickTop="1">
      <c r="A119" s="598"/>
      <c r="B119" s="635" t="s">
        <v>2702</v>
      </c>
      <c r="C119" s="2975" t="s">
        <v>3113</v>
      </c>
      <c r="D119" s="2975" t="s">
        <v>3114</v>
      </c>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1"/>
      <c r="O120" s="1151"/>
      <c r="P120" s="2681"/>
      <c r="Q120" s="503"/>
    </row>
    <row r="121" spans="1:17" s="470" customFormat="1" ht="15" thickTop="1">
      <c r="A121" s="592"/>
      <c r="B121" s="537" t="s">
        <v>2685</v>
      </c>
      <c r="C121" s="553" t="s">
        <v>3115</v>
      </c>
      <c r="D121" s="553" t="s">
        <v>3116</v>
      </c>
      <c r="E121" s="553" t="s">
        <v>3117</v>
      </c>
      <c r="F121" s="582" t="s">
        <v>3118</v>
      </c>
      <c r="G121" s="554"/>
      <c r="H121" s="554"/>
      <c r="I121" s="554"/>
      <c r="J121" s="554"/>
      <c r="K121" s="554"/>
      <c r="L121" s="555"/>
      <c r="M121" s="556"/>
      <c r="N121" s="1152"/>
      <c r="O121" s="1152"/>
      <c r="P121" s="2682"/>
      <c r="Q121" s="558"/>
    </row>
    <row r="122" spans="1:17" s="470" customFormat="1" ht="15.75" thickBot="1">
      <c r="A122" s="552"/>
      <c r="B122" s="534"/>
      <c r="C122" s="559">
        <v>100</v>
      </c>
      <c r="D122" s="559">
        <v>100</v>
      </c>
      <c r="E122" s="559">
        <v>100</v>
      </c>
      <c r="F122" s="559">
        <v>100</v>
      </c>
      <c r="G122" s="559"/>
      <c r="H122" s="559"/>
      <c r="I122" s="559"/>
      <c r="J122" s="559"/>
      <c r="K122" s="559"/>
      <c r="L122" s="559"/>
      <c r="M122" s="559"/>
      <c r="N122" s="1152"/>
      <c r="O122" s="1152"/>
      <c r="P122" s="2682"/>
      <c r="Q122" s="558"/>
    </row>
    <row r="123" spans="1:17" ht="15" thickTop="1">
      <c r="A123" s="598"/>
      <c r="B123" s="537" t="s">
        <v>2621</v>
      </c>
      <c r="C123" s="2973" t="s">
        <v>3099</v>
      </c>
      <c r="D123" s="2973" t="s">
        <v>3100</v>
      </c>
      <c r="E123" s="2973" t="s">
        <v>3101</v>
      </c>
      <c r="F123" s="2975" t="s">
        <v>3102</v>
      </c>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1"/>
      <c r="O124" s="1151"/>
      <c r="P124" s="2681"/>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82"/>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4"/>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3068</v>
      </c>
      <c r="D1" s="2414"/>
      <c r="E1" s="2414"/>
      <c r="F1" s="2416" t="s">
        <v>2119</v>
      </c>
      <c r="G1" s="2067" t="s">
        <v>3059</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3168</v>
      </c>
      <c r="D4" s="2423" t="s">
        <v>3164</v>
      </c>
      <c r="E4" s="3163" t="s">
        <v>2123</v>
      </c>
      <c r="F4" s="3165"/>
      <c r="G4" s="3165"/>
      <c r="H4" s="3165"/>
      <c r="I4" s="3164"/>
      <c r="K4" s="2424" t="str">
        <f>IF(ISNUMBER(FIND("比较法",结果表仓储!C4)),"比较法",IF(ISNUMBER(FIND("成本法",结果表仓储!C4)),"成本法",IF(ISNUMBER(FIND("假设开发法",结果表仓储!C4)),"假设开发法",IF(ISNUMBER(FIND("收益法",结果表仓储!C4)),"收益法","基准地价系数修正法"))))</f>
        <v>成本法</v>
      </c>
      <c r="L4" s="242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258">
        <v>0.5</v>
      </c>
      <c r="D14" s="3261">
        <f>1-C14</f>
        <v>0.5</v>
      </c>
      <c r="E14" s="139" t="s">
        <v>2138</v>
      </c>
      <c r="F14" s="2425"/>
      <c r="G14" s="2425"/>
      <c r="H14" s="2425"/>
      <c r="I14" s="1829"/>
    </row>
    <row r="15" spans="1:12" ht="12.75">
      <c r="A15" s="3194"/>
      <c r="B15" s="3062"/>
      <c r="C15" s="3259"/>
      <c r="D15" s="3261"/>
      <c r="E15" s="139" t="s">
        <v>2139</v>
      </c>
      <c r="F15" s="2425"/>
      <c r="G15" s="2425"/>
      <c r="H15" s="2425"/>
      <c r="I15" s="1829"/>
    </row>
    <row r="16" spans="1:12" ht="12.75">
      <c r="A16" s="3194"/>
      <c r="B16" s="3062"/>
      <c r="C16" s="3260"/>
      <c r="D16" s="3261"/>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6180.34</v>
      </c>
      <c r="M18" s="2424">
        <f>IF(C1="",'数据-汇总表'!E3,SUMIF(项目类型,C1,'数据-汇总表'!E17:E26))</f>
        <v>6180.34</v>
      </c>
    </row>
    <row r="19" spans="1:35" ht="15">
      <c r="A19" s="2430" t="s">
        <v>2146</v>
      </c>
      <c r="B19" s="2431" t="s">
        <v>2147</v>
      </c>
      <c r="C19" s="142">
        <f ca="1">SUMIF(INDIRECT("'"&amp;C4&amp;"'"&amp;"!A:A"),结果表仓储!B19,INDIRECT("'"&amp;C4&amp;"'"&amp;"!B:B"))</f>
        <v>6977</v>
      </c>
      <c r="D19" s="143">
        <f ca="1">SUMIF(INDIRECT("'"&amp;D4&amp;"'"&amp;"!A:A"),结果表仓储!B19,INDIRECT("'"&amp;D4&amp;"'"&amp;"!B:B"))</f>
        <v>31442</v>
      </c>
      <c r="E19" s="2430" t="s">
        <v>2148</v>
      </c>
      <c r="F19" s="2431" t="s">
        <v>2147</v>
      </c>
      <c r="G19" s="144">
        <f ca="1">ROUND(C19*$C$18+D19*$D$18,0)</f>
        <v>19210</v>
      </c>
      <c r="H19" s="2432" t="s">
        <v>2149</v>
      </c>
      <c r="I19" s="137"/>
      <c r="K19" s="2424" t="s">
        <v>2150</v>
      </c>
      <c r="L19" s="2424">
        <f>IF(C1="",'数据-汇总表'!D3,SUMIF(项目类型,C1,'数据-汇总表'!D17:D26)+SUMIF(项目类型,C1,'数据-汇总表'!H17:H27))</f>
        <v>2729.58</v>
      </c>
      <c r="M19" s="2424">
        <f>IF(C1="",'数据-汇总表'!D3,SUMIF(项目类型,C1,'数据-汇总表'!D17:D26))</f>
        <v>2729.58</v>
      </c>
    </row>
    <row r="20" spans="1:35" ht="15">
      <c r="A20" s="2433"/>
      <c r="B20" s="1245" t="s">
        <v>2151</v>
      </c>
      <c r="C20" s="145">
        <f ca="1">SUMIF(INDIRECT("'"&amp;C4&amp;"'"&amp;"!A:A"),结果表仓储!B20,INDIRECT("'"&amp;C4&amp;"'"&amp;"!B:B"))</f>
        <v>11289</v>
      </c>
      <c r="D20" s="146">
        <f ca="1">SUMIF(INDIRECT("'"&amp;D4&amp;"'"&amp;"!A:A"),结果表仓储!B20,INDIRECT("'"&amp;D4&amp;"'"&amp;"!B:B"))</f>
        <v>50874</v>
      </c>
      <c r="E20" s="2433"/>
      <c r="F20" s="1245" t="s">
        <v>2151</v>
      </c>
      <c r="G20" s="147">
        <f ca="1">ROUND(C20*$C$18+D20*$D$18,0)</f>
        <v>31082</v>
      </c>
      <c r="H20" s="978" t="s">
        <v>2152</v>
      </c>
      <c r="I20" s="137"/>
    </row>
    <row r="21" spans="1:35" ht="15" customHeight="1" thickBot="1">
      <c r="A21" s="998"/>
      <c r="B21" s="2434" t="s">
        <v>2153</v>
      </c>
      <c r="C21" s="788">
        <f ca="1">ROUND(C19*10000/L19,0)</f>
        <v>25561</v>
      </c>
      <c r="D21" s="789">
        <f ca="1">ROUND(D19*10000/L19,0)</f>
        <v>115190</v>
      </c>
      <c r="E21" s="998"/>
      <c r="F21" s="2434" t="s">
        <v>2153</v>
      </c>
      <c r="G21" s="148">
        <f ca="1">ROUND(G19*10000/L19,0)</f>
        <v>70377</v>
      </c>
      <c r="H21" s="2435" t="s">
        <v>2152</v>
      </c>
      <c r="I21" s="137"/>
    </row>
    <row r="22" spans="1:35" ht="15" thickBot="1">
      <c r="A22" s="2277" t="s">
        <v>2154</v>
      </c>
      <c r="B22" s="2436"/>
      <c r="C22" s="2437"/>
      <c r="D22" s="790">
        <f ca="1">IF(C19&lt;D19,D19/C19-1,C19/D19-1)</f>
        <v>3.5065214275476562</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3037</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19210</v>
      </c>
      <c r="D32" s="2445" t="s">
        <v>2162</v>
      </c>
      <c r="E32" s="137"/>
      <c r="F32" s="137"/>
      <c r="G32" s="137"/>
      <c r="H32" s="137"/>
      <c r="I32" s="137"/>
    </row>
    <row r="33" spans="1:15" ht="15">
      <c r="A33" s="955" t="s">
        <v>2163</v>
      </c>
      <c r="B33" s="2446"/>
      <c r="C33" s="2447"/>
      <c r="D33" s="2448"/>
      <c r="E33" s="2449" t="s">
        <v>2164</v>
      </c>
      <c r="F33" s="245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19210</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1807">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1807">
        <v>2</v>
      </c>
      <c r="K47" s="3175" t="s">
        <v>2194</v>
      </c>
      <c r="L47" s="3175"/>
      <c r="M47" s="3176">
        <f>'数据-取费表'!B2</f>
        <v>43236</v>
      </c>
      <c r="N47" s="3176"/>
      <c r="O47" s="3176"/>
    </row>
    <row r="48" spans="1:15" ht="25.5">
      <c r="A48" s="3177" t="s">
        <v>2195</v>
      </c>
      <c r="B48" s="3172"/>
      <c r="C48" s="3172"/>
      <c r="D48" s="139">
        <f>IF(H48="情况1",0,IF(H48="情况2",D52,IF(H48="情况3",D53,IF(H48="情况4",D54))))</f>
        <v>0</v>
      </c>
      <c r="E48" s="1796" t="str">
        <f>IF(H48="情况4","(销售额-原购置价)×税（费）率","销售额×税（费）率")</f>
        <v>销售额×税（费）率</v>
      </c>
      <c r="F48" s="174" t="str">
        <f>IF(H48="情况1","免征",'数据-取费表'!B41)</f>
        <v>免征</v>
      </c>
      <c r="G48" s="2477" t="s">
        <v>2196</v>
      </c>
      <c r="H48" s="2478" t="s">
        <v>2197</v>
      </c>
      <c r="I48" s="2476"/>
      <c r="J48" s="1807">
        <v>3</v>
      </c>
      <c r="K48" s="3175" t="s">
        <v>2198</v>
      </c>
      <c r="L48" s="3175"/>
      <c r="M48" s="3178">
        <f ca="1">H101</f>
        <v>19210</v>
      </c>
      <c r="N48" s="3178"/>
      <c r="O48" s="3178"/>
    </row>
    <row r="49" spans="1:35" ht="25.5" customHeight="1">
      <c r="A49" s="175" t="s">
        <v>2199</v>
      </c>
      <c r="B49" s="3152" t="s">
        <v>2200</v>
      </c>
      <c r="C49" s="3152"/>
      <c r="D49" s="176">
        <v>0</v>
      </c>
      <c r="E49" s="22" t="s">
        <v>2201</v>
      </c>
      <c r="F49" s="27" t="s">
        <v>34</v>
      </c>
      <c r="G49" s="3179"/>
      <c r="H49" s="137"/>
      <c r="I49" s="2479"/>
      <c r="J49" s="1807">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480" t="s">
        <v>2205</v>
      </c>
      <c r="K51" s="3175" t="s">
        <v>2206</v>
      </c>
      <c r="L51" s="3175"/>
      <c r="M51" s="2480" t="s">
        <v>2207</v>
      </c>
      <c r="N51" s="2480" t="s">
        <v>2208</v>
      </c>
      <c r="O51" s="2480" t="s">
        <v>2209</v>
      </c>
    </row>
    <row r="52" spans="1:35" ht="24" customHeight="1">
      <c r="A52" s="182" t="s">
        <v>2210</v>
      </c>
      <c r="B52" s="3152" t="s">
        <v>2211</v>
      </c>
      <c r="C52" s="3152"/>
      <c r="D52" s="181">
        <f ca="1">ROUND(D45*'数据-取费表'!B41/(1+'数据-取费表'!C42),0)</f>
        <v>1025</v>
      </c>
      <c r="E52" s="11" t="s">
        <v>2212</v>
      </c>
      <c r="F52" s="183">
        <f>'数据-取费表'!B41</f>
        <v>5.6000000000000001E-2</v>
      </c>
      <c r="G52" s="2481"/>
      <c r="H52" s="137"/>
      <c r="I52" s="2479"/>
      <c r="J52" s="1807">
        <v>1</v>
      </c>
      <c r="K52" s="3159" t="s">
        <v>2213</v>
      </c>
      <c r="L52" s="3159"/>
      <c r="M52" s="1749">
        <f>D48</f>
        <v>0</v>
      </c>
      <c r="N52" s="1807" t="str">
        <f>E48</f>
        <v>销售额×税（费）率</v>
      </c>
      <c r="O52" s="1750" t="str">
        <f>F48</f>
        <v>免征</v>
      </c>
    </row>
    <row r="53" spans="1:35" ht="12" customHeight="1">
      <c r="A53" s="182" t="s">
        <v>2214</v>
      </c>
      <c r="B53" s="3151" t="s">
        <v>2215</v>
      </c>
      <c r="C53" s="3170"/>
      <c r="D53" s="181">
        <f ca="1">ROUND(D45*'数据-取费表'!B41/(1+'数据-取费表'!C42),0)</f>
        <v>1025</v>
      </c>
      <c r="E53" s="11" t="s">
        <v>2212</v>
      </c>
      <c r="F53" s="183">
        <f>'数据-取费表'!B41</f>
        <v>5.6000000000000001E-2</v>
      </c>
      <c r="G53" s="2481"/>
      <c r="H53" s="137"/>
      <c r="I53" s="2479"/>
      <c r="J53" s="1807">
        <v>2</v>
      </c>
      <c r="K53" s="3159" t="s">
        <v>2216</v>
      </c>
      <c r="L53" s="3159"/>
      <c r="M53" s="1749">
        <f t="shared" ref="M53:O54" ca="1" si="0">D55</f>
        <v>10</v>
      </c>
      <c r="N53" s="1807" t="str">
        <f t="shared" si="0"/>
        <v>销售额×税（费）率</v>
      </c>
      <c r="O53" s="1750">
        <f t="shared" si="0"/>
        <v>5.0000000000000001E-4</v>
      </c>
    </row>
    <row r="54" spans="1:35" ht="12" customHeight="1">
      <c r="A54" s="182" t="s">
        <v>2217</v>
      </c>
      <c r="B54" s="3151" t="s">
        <v>2218</v>
      </c>
      <c r="C54" s="3170"/>
      <c r="D54" s="181">
        <f ca="1">C68</f>
        <v>1025</v>
      </c>
      <c r="E54" s="29" t="s">
        <v>2219</v>
      </c>
      <c r="F54" s="183">
        <f>'数据-取费表'!B41</f>
        <v>5.6000000000000001E-2</v>
      </c>
      <c r="G54" s="2481"/>
      <c r="H54" s="2482"/>
      <c r="I54" s="2479"/>
      <c r="J54" s="1807">
        <v>3</v>
      </c>
      <c r="K54" s="3159" t="s">
        <v>2220</v>
      </c>
      <c r="L54" s="3159"/>
      <c r="M54" s="1749">
        <f t="shared" ca="1" si="0"/>
        <v>10873</v>
      </c>
      <c r="N54" s="1807" t="str">
        <f t="shared" si="0"/>
        <v>增值额×税（费）率</v>
      </c>
      <c r="O54" s="1751" t="str">
        <f t="shared" si="0"/>
        <v>——</v>
      </c>
    </row>
    <row r="55" spans="1:35" ht="24" customHeight="1">
      <c r="A55" s="3171" t="s">
        <v>2221</v>
      </c>
      <c r="B55" s="3172"/>
      <c r="C55" s="3172"/>
      <c r="D55" s="184">
        <f ca="1">IF(H55="个人住宅",0,ROUND(D45*I55,0))</f>
        <v>10</v>
      </c>
      <c r="E55" s="11" t="s">
        <v>2222</v>
      </c>
      <c r="F55" s="183">
        <f>IF(H55="正常",I55,"免征")</f>
        <v>5.0000000000000001E-4</v>
      </c>
      <c r="G55" s="2481"/>
      <c r="H55" s="2478" t="s">
        <v>2223</v>
      </c>
      <c r="I55" s="185">
        <f>'数据-取费表'!B49</f>
        <v>5.0000000000000001E-4</v>
      </c>
      <c r="J55" s="1807" t="str">
        <f>IF(H59="非个人房产","",4)</f>
        <v/>
      </c>
      <c r="K55" s="3159" t="str">
        <f>IF(H59="非个人房产","——","个人所得税")</f>
        <v>——</v>
      </c>
      <c r="L55" s="3159"/>
      <c r="M55" s="1752" t="str">
        <f>D59</f>
        <v>——</v>
      </c>
      <c r="N55" s="1805" t="str">
        <f>E59</f>
        <v>——</v>
      </c>
      <c r="O55" s="1753" t="str">
        <f>F59</f>
        <v>——</v>
      </c>
    </row>
    <row r="56" spans="1:35" ht="24.75">
      <c r="A56" s="3171" t="s">
        <v>2224</v>
      </c>
      <c r="B56" s="3172"/>
      <c r="C56" s="3172"/>
      <c r="D56" s="184">
        <f ca="1">IF(H56="个人住宅",D57,D58)</f>
        <v>10873</v>
      </c>
      <c r="E56" s="11" t="s">
        <v>2225</v>
      </c>
      <c r="F56" s="183" t="str">
        <f>IF(H56="正常",F58,"免征")</f>
        <v>——</v>
      </c>
      <c r="G56" s="2483" t="s">
        <v>2226</v>
      </c>
      <c r="H56" s="2484" t="s">
        <v>2223</v>
      </c>
      <c r="I56" s="2485"/>
      <c r="J56" s="1807"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IF(AND(J55="",J56=""),4,IF(项目基本情况!K6="上海银行",结果表仓储!J56+1,结果表仓储!J55+1))</f>
        <v>4</v>
      </c>
      <c r="K57" s="3159" t="s">
        <v>2228</v>
      </c>
      <c r="L57" s="2486" t="s">
        <v>2229</v>
      </c>
      <c r="M57" s="1754"/>
      <c r="N57" s="1755">
        <f ca="1">SUMIF(M52:M56,"&lt;9e307")</f>
        <v>10883</v>
      </c>
      <c r="O57" s="2487"/>
      <c r="P57" s="1748" t="e">
        <f ca="1">N57/M49</f>
        <v>#VALUE!</v>
      </c>
    </row>
    <row r="58" spans="1:35" ht="24.75">
      <c r="A58" s="182" t="s">
        <v>2210</v>
      </c>
      <c r="B58" s="3163" t="s">
        <v>2230</v>
      </c>
      <c r="C58" s="3165"/>
      <c r="D58" s="184">
        <f ca="1">IF(H58="转让取得",C81,C97)</f>
        <v>10873</v>
      </c>
      <c r="E58" s="11" t="s">
        <v>2225</v>
      </c>
      <c r="F58" s="23" t="s">
        <v>34</v>
      </c>
      <c r="G58" s="2481"/>
      <c r="H58" s="2484" t="s">
        <v>2231</v>
      </c>
      <c r="I58" s="2485"/>
      <c r="J58" s="3159"/>
      <c r="K58" s="3159"/>
      <c r="L58" s="2486" t="s">
        <v>2232</v>
      </c>
      <c r="M58" s="1756"/>
      <c r="N58" s="2488" t="str">
        <f ca="1">NUMBERSTRING(INT(N57*10000),2)&amp;"元整"</f>
        <v>壹亿零捌佰捌拾叁万元整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1807"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1807">
        <f>J59+1</f>
        <v>6</v>
      </c>
      <c r="K61" s="3159" t="s">
        <v>2237</v>
      </c>
      <c r="L61" s="3159"/>
      <c r="M61" s="1759"/>
      <c r="N61" s="1760" t="e">
        <f ca="1">ROUND(N59*10000/'数据-汇总表'!E3,0)</f>
        <v>#VALUE!</v>
      </c>
      <c r="O61" s="2494"/>
    </row>
    <row r="62" spans="1:35" ht="12.75">
      <c r="A62" s="3156" t="s">
        <v>2238</v>
      </c>
      <c r="B62" s="3157"/>
      <c r="C62" s="1799"/>
      <c r="D62" s="1799" t="s">
        <v>2239</v>
      </c>
      <c r="E62" s="191" t="s">
        <v>2240</v>
      </c>
      <c r="F62" s="2485"/>
      <c r="G62" s="2485"/>
      <c r="H62" s="2493"/>
      <c r="I62" s="137"/>
    </row>
    <row r="63" spans="1:35" ht="12.75">
      <c r="A63" s="202" t="s">
        <v>775</v>
      </c>
      <c r="B63" s="192" t="s">
        <v>2241</v>
      </c>
      <c r="C63" s="193">
        <f ca="1">ROUND((C64+C65)/(1+'数据-取费表'!C42),0)</f>
        <v>18295</v>
      </c>
      <c r="D63" s="194"/>
      <c r="E63" s="195"/>
      <c r="F63" s="2485"/>
      <c r="G63" s="2485"/>
      <c r="H63" s="2493"/>
      <c r="I63" s="137"/>
      <c r="J63" s="3160" t="s">
        <v>2242</v>
      </c>
      <c r="K63" s="2495"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19210</v>
      </c>
      <c r="D64" s="199" t="s">
        <v>32</v>
      </c>
      <c r="E64" s="200"/>
      <c r="F64" s="2485"/>
      <c r="G64" s="2485"/>
      <c r="H64" s="2493"/>
      <c r="I64" s="137"/>
      <c r="J64" s="3160"/>
      <c r="K64" s="2495"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495"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495" t="s">
        <v>2250</v>
      </c>
      <c r="L66" s="1747" t="e">
        <f>M49*0.5%</f>
        <v>#VALUE!</v>
      </c>
      <c r="M66" s="23" t="e">
        <f>IF(L66&gt;0.5,0.5,ROUND(L66,0))</f>
        <v>#VALUE!</v>
      </c>
      <c r="N66" s="137" t="s">
        <v>2251</v>
      </c>
      <c r="Z66" s="2419"/>
      <c r="AI66" s="2420"/>
    </row>
    <row r="67" spans="1:35" ht="14.25" customHeight="1">
      <c r="A67" s="202" t="s">
        <v>773</v>
      </c>
      <c r="B67" s="203" t="s">
        <v>2252</v>
      </c>
      <c r="C67" s="206">
        <f ca="1">C63-C66</f>
        <v>18295</v>
      </c>
      <c r="D67" s="199" t="s">
        <v>32</v>
      </c>
      <c r="E67" s="200"/>
      <c r="F67" s="2485"/>
      <c r="G67" s="2485"/>
      <c r="H67" s="2493"/>
      <c r="I67" s="137"/>
      <c r="J67" s="3160"/>
      <c r="K67" s="2495"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1025</v>
      </c>
      <c r="D68" s="210">
        <f>'数据-取费表'!B41</f>
        <v>5.6000000000000001E-2</v>
      </c>
      <c r="E68" s="211"/>
      <c r="F68" s="2485"/>
      <c r="G68" s="2485"/>
      <c r="H68" s="2493"/>
      <c r="I68" s="137"/>
      <c r="J68" s="3160"/>
      <c r="K68" s="2495"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495"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1799"/>
      <c r="D71" s="1799"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18295</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110</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09" t="s">
        <v>2269</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110</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18185</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165.31818181818181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10873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1799"/>
      <c r="D84" s="1799"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18295</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110</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1795"/>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110</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18185</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165.31818181818181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10873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成本法仓储</v>
      </c>
      <c r="D101" s="736" t="str">
        <f>D4</f>
        <v>收益法仓储</v>
      </c>
      <c r="E101" s="3148" t="s">
        <v>2297</v>
      </c>
      <c r="F101" s="3130"/>
      <c r="G101" s="2516" t="s">
        <v>2298</v>
      </c>
      <c r="H101" s="1043">
        <f ca="1">H118</f>
        <v>19210</v>
      </c>
      <c r="I101" s="137"/>
    </row>
    <row r="102" spans="1:35" ht="18.75" customHeight="1">
      <c r="A102" s="3127" t="s">
        <v>2299</v>
      </c>
      <c r="B102" s="2516" t="s">
        <v>2298</v>
      </c>
      <c r="C102" s="735">
        <f ca="1">C19</f>
        <v>6977</v>
      </c>
      <c r="D102" s="736">
        <f ca="1">D19</f>
        <v>31442</v>
      </c>
      <c r="E102" s="3148"/>
      <c r="F102" s="3130"/>
      <c r="G102" s="2516" t="s">
        <v>2300</v>
      </c>
      <c r="H102" s="370">
        <f ca="1">I118</f>
        <v>31082</v>
      </c>
      <c r="I102" s="137"/>
    </row>
    <row r="103" spans="1:35" ht="42.75" customHeight="1">
      <c r="A103" s="3127"/>
      <c r="B103" s="2516" t="s">
        <v>2300</v>
      </c>
      <c r="C103" s="737">
        <f ca="1">C20</f>
        <v>11289</v>
      </c>
      <c r="D103" s="738">
        <f ca="1">D20</f>
        <v>50874</v>
      </c>
      <c r="E103" s="3149" t="s">
        <v>2301</v>
      </c>
      <c r="F103" s="3150"/>
      <c r="G103" s="2517" t="s">
        <v>2302</v>
      </c>
      <c r="H103" s="1043">
        <f>IF(D36="正常操作",H104+H105+H106,H105+H106)</f>
        <v>0</v>
      </c>
      <c r="I103" s="137"/>
    </row>
    <row r="104" spans="1:35" ht="18.75" customHeight="1">
      <c r="A104" s="3127" t="s">
        <v>2303</v>
      </c>
      <c r="B104" s="2518" t="s">
        <v>2298</v>
      </c>
      <c r="C104" s="739">
        <f ca="1">H118</f>
        <v>19210</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31082</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19210</v>
      </c>
      <c r="I107" s="137"/>
    </row>
    <row r="108" spans="1:35" ht="18.75" customHeight="1">
      <c r="A108" s="137"/>
      <c r="B108" s="137"/>
      <c r="C108" s="137"/>
      <c r="D108" s="137"/>
      <c r="E108" s="3129"/>
      <c r="F108" s="3130"/>
      <c r="G108" s="2516" t="s">
        <v>2300</v>
      </c>
      <c r="H108" s="370">
        <f ca="1">ROUND(H107*10000/'数据-汇总表'!E3,0)</f>
        <v>5649</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1793" t="s">
        <v>2315</v>
      </c>
      <c r="E117" s="1793" t="s">
        <v>2316</v>
      </c>
      <c r="F117" s="1793" t="s">
        <v>2315</v>
      </c>
      <c r="G117" s="1793" t="s">
        <v>2317</v>
      </c>
      <c r="H117" s="1793" t="s">
        <v>2315</v>
      </c>
      <c r="I117" s="1793" t="s">
        <v>2317</v>
      </c>
    </row>
    <row r="118" spans="1:11" ht="24.75" customHeight="1">
      <c r="A118" s="2522" t="str">
        <f>项目基本情况!S2</f>
        <v>北京市房地产</v>
      </c>
      <c r="B118" s="1793">
        <f>M18</f>
        <v>6180.34</v>
      </c>
      <c r="C118" s="1793">
        <f>M19</f>
        <v>2729.58</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19210</v>
      </c>
      <c r="I118" s="1793">
        <f ca="1">ROUND(IF(D32="楼面单价",C32,H118*10000/B118),0)</f>
        <v>31082</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壹亿玖仟贰佰壹拾万元整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19210</v>
      </c>
      <c r="E122" s="3117"/>
      <c r="F122" s="3117"/>
      <c r="G122" s="3117"/>
      <c r="H122" s="3117"/>
      <c r="I122" s="3118"/>
    </row>
    <row r="123" spans="1:11" ht="18.75" customHeight="1">
      <c r="A123" s="3062" t="s">
        <v>2318</v>
      </c>
      <c r="B123" s="3062"/>
      <c r="C123" s="3062"/>
      <c r="D123" s="3111" t="str">
        <f ca="1">NUMBERSTRING(INT(D122*10000),2)&amp;"元整"</f>
        <v>壹亿玖仟贰佰壹拾万元整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I27" sqref="I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3068</v>
      </c>
      <c r="C1" s="241"/>
      <c r="D1" s="241"/>
      <c r="E1" s="241"/>
      <c r="F1" s="241"/>
      <c r="G1" s="1377">
        <f>MATCH(B1,'数据-取费表'!A6:A16,0)+5</f>
        <v>7</v>
      </c>
    </row>
    <row r="2" spans="1:9" s="243" customFormat="1" ht="18" customHeight="1">
      <c r="A2" s="244" t="s">
        <v>2328</v>
      </c>
      <c r="B2" s="245">
        <f ca="1">IF(D2="——",C52,C52-E2)</f>
        <v>6977</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11289</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2681</v>
      </c>
      <c r="D5" s="254" t="s">
        <v>2335</v>
      </c>
      <c r="E5" s="255" t="s">
        <v>2336</v>
      </c>
      <c r="F5" s="255" t="s">
        <v>2337</v>
      </c>
      <c r="G5" s="256"/>
    </row>
    <row r="6" spans="1:9" s="257" customFormat="1" ht="13.5" customHeight="1">
      <c r="A6" s="947" t="s">
        <v>2338</v>
      </c>
      <c r="B6" s="258" t="s">
        <v>2339</v>
      </c>
      <c r="C6" s="259">
        <f ca="1">基准地价修正!E38</f>
        <v>2481</v>
      </c>
      <c r="D6" s="260"/>
      <c r="E6" s="261"/>
      <c r="F6" s="261"/>
      <c r="G6" s="262"/>
    </row>
    <row r="7" spans="1:9" s="257" customFormat="1" ht="13.5" customHeight="1">
      <c r="A7" s="947" t="s">
        <v>2340</v>
      </c>
      <c r="B7" s="258" t="s">
        <v>2341</v>
      </c>
      <c r="C7" s="263">
        <f ca="1">ROUND(C6*F7,0)</f>
        <v>76</v>
      </c>
      <c r="D7" s="263"/>
      <c r="E7" s="261"/>
      <c r="F7" s="264">
        <f>'数据-取费表'!B48+'数据-取费表'!B49</f>
        <v>3.0499999999999999E-2</v>
      </c>
      <c r="G7" s="262"/>
    </row>
    <row r="8" spans="1:9" s="266" customFormat="1">
      <c r="A8" s="947" t="s">
        <v>2342</v>
      </c>
      <c r="B8" s="258" t="s">
        <v>2343</v>
      </c>
      <c r="C8" s="263">
        <f ca="1">IF(G8="已包含在土地购买价格中","0",IF(B1="",'数据-取费表'!B29,IF(G9="全部缴纳",C9+C10,H9)))</f>
        <v>124</v>
      </c>
      <c r="D8" s="265"/>
      <c r="E8" s="263"/>
      <c r="F8" s="264"/>
      <c r="G8" s="3015" t="s">
        <v>3191</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124</v>
      </c>
      <c r="D10" s="1030">
        <f ca="1">IF(B1="",'数据-汇总表'!E6,IF(INDIRECT("'数据-取费表'!c"&amp;$G$1)="住宅",INDIRECT("'数据-取费表'!s"&amp;$G$1),INDIRECT("'数据-取费表'!k"&amp;$G$1)+INDIRECT("'数据-取费表'!s"&amp;$G$1)))</f>
        <v>6180.34</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t="str">
        <f>IF(G19="已包含在土地取得成本中","0",ROUND(D19*E19/10000,0))</f>
        <v>0</v>
      </c>
      <c r="D19" s="1034">
        <f ca="1">D9+D10</f>
        <v>6180.34</v>
      </c>
      <c r="E19" s="254">
        <f>'数据-取费表'!B31</f>
        <v>200</v>
      </c>
      <c r="F19" s="274"/>
      <c r="G19" s="3015" t="s">
        <v>3192</v>
      </c>
    </row>
    <row r="20" spans="1:7" s="257" customFormat="1" ht="13.5" customHeight="1">
      <c r="A20" s="298" t="s">
        <v>2359</v>
      </c>
      <c r="B20" s="253" t="s">
        <v>2360</v>
      </c>
      <c r="C20" s="275">
        <f ca="1">ROUND((C5+C19)*F20,0)</f>
        <v>80</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265</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261</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0</v>
      </c>
      <c r="D24" s="281"/>
      <c r="E24" s="281"/>
      <c r="F24" s="282"/>
      <c r="G24" s="283" t="s">
        <v>2373</v>
      </c>
    </row>
    <row r="25" spans="1:7" s="257" customFormat="1" ht="24">
      <c r="A25" s="949" t="s">
        <v>2374</v>
      </c>
      <c r="B25" s="258" t="s">
        <v>2375</v>
      </c>
      <c r="C25" s="1353">
        <f ca="1">ROUND(IF('数据-取费表'!B22&lt;=1,C20*F22*'数据-取费表'!B23/2,C20*(POWER((1+F22),'数据-取费表'!B23/2)-1)),0)</f>
        <v>4</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690</v>
      </c>
      <c r="D27" s="278">
        <f ca="1">C29</f>
        <v>7.4999999999999997E-3</v>
      </c>
      <c r="E27" s="279" t="s">
        <v>2380</v>
      </c>
      <c r="F27" s="289">
        <f ca="1">IF(B1="",'数据-取费表'!Q16,INDIRECT("'数据-取费表'!q"&amp;$G$1))</f>
        <v>0.25</v>
      </c>
      <c r="G27" s="290" t="s">
        <v>2381</v>
      </c>
    </row>
    <row r="28" spans="1:7" s="257" customFormat="1" ht="13.5" customHeight="1">
      <c r="A28" s="949" t="s">
        <v>791</v>
      </c>
      <c r="B28" s="291" t="s">
        <v>2382</v>
      </c>
      <c r="C28" s="292">
        <f ca="1">ROUND((C5+C19+C20)*F27*'数据-取费表'!B21/'数据-取费表'!B20,0)</f>
        <v>690</v>
      </c>
      <c r="D28" s="278"/>
      <c r="E28" s="279"/>
      <c r="F28" s="289"/>
      <c r="G28" s="290"/>
    </row>
    <row r="29" spans="1:7" s="257" customFormat="1" ht="13.5" customHeight="1">
      <c r="A29" s="949" t="s">
        <v>792</v>
      </c>
      <c r="B29" s="291" t="s">
        <v>2383</v>
      </c>
      <c r="C29" s="281">
        <f ca="1">ROUND(C21*F27*'数据-取费表'!B21/'数据-取费表'!B20,4)</f>
        <v>7.4999999999999997E-3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4093</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2062</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1854</v>
      </c>
      <c r="D34" s="260"/>
      <c r="E34" s="263"/>
      <c r="F34" s="300">
        <f ca="1">IF('数据-取费表'!B24=0,1,IF(B1="",'数据-取费表'!N16,INDIRECT("'数据-取费表'!n"&amp;$G$1)))</f>
        <v>1</v>
      </c>
      <c r="G34" s="262" t="s">
        <v>2392</v>
      </c>
    </row>
    <row r="35" spans="1:7" ht="13.5" customHeight="1">
      <c r="A35" s="949" t="s">
        <v>796</v>
      </c>
      <c r="B35" s="258" t="s">
        <v>2393</v>
      </c>
      <c r="C35" s="263">
        <f ca="1">ROUND(C34*F35,0)</f>
        <v>56</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124</v>
      </c>
      <c r="D37" s="260">
        <f ca="1">D19</f>
        <v>6180.34</v>
      </c>
      <c r="E37" s="292">
        <f>'数据-取费表'!B35</f>
        <v>200</v>
      </c>
      <c r="F37" s="302"/>
      <c r="G37" s="304" t="s">
        <v>2398</v>
      </c>
    </row>
    <row r="38" spans="1:7" ht="13.5" customHeight="1">
      <c r="A38" s="949" t="s">
        <v>799</v>
      </c>
      <c r="B38" s="258" t="s">
        <v>2399</v>
      </c>
      <c r="C38" s="263">
        <f ca="1">ROUND(C34*F38,0)</f>
        <v>28</v>
      </c>
      <c r="D38" s="263"/>
      <c r="E38" s="263"/>
      <c r="F38" s="302">
        <f>'数据-取费表'!B36</f>
        <v>1.4999999999999999E-2</v>
      </c>
      <c r="G38" s="262" t="s">
        <v>2394</v>
      </c>
    </row>
    <row r="39" spans="1:7" s="257" customFormat="1" ht="13.5" customHeight="1">
      <c r="A39" s="298" t="s">
        <v>2400</v>
      </c>
      <c r="B39" s="253" t="s">
        <v>2401</v>
      </c>
      <c r="C39" s="275">
        <f ca="1">ROUND(C33*F20,0)</f>
        <v>62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101</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98</v>
      </c>
      <c r="D42" s="281"/>
      <c r="E42" s="281"/>
      <c r="F42" s="282"/>
      <c r="G42" s="3262" t="s">
        <v>2410</v>
      </c>
    </row>
    <row r="43" spans="1:7" ht="13.5" customHeight="1">
      <c r="A43" s="949" t="s">
        <v>792</v>
      </c>
      <c r="B43" s="258" t="s">
        <v>2411</v>
      </c>
      <c r="C43" s="281">
        <f ca="1">ROUND(IF('数据-取费表'!B22&lt;=1,C39*F22*'数据-取费表'!B21/2,C39*(POWER((1+F22),'数据-取费表'!B21/2)-1)),0)</f>
        <v>3</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531</v>
      </c>
      <c r="D45" s="278">
        <f ca="1">C47</f>
        <v>7.4999999999999997E-3</v>
      </c>
      <c r="E45" s="279" t="s">
        <v>2405</v>
      </c>
      <c r="F45" s="289"/>
      <c r="G45" s="290" t="s">
        <v>2414</v>
      </c>
    </row>
    <row r="46" spans="1:7" s="257" customFormat="1" ht="13.5" customHeight="1">
      <c r="A46" s="949" t="s">
        <v>791</v>
      </c>
      <c r="B46" s="291" t="s">
        <v>2415</v>
      </c>
      <c r="C46" s="292">
        <f ca="1">ROUND((C33+C39)*F27,0)</f>
        <v>531</v>
      </c>
      <c r="D46" s="306"/>
      <c r="E46" s="279"/>
      <c r="F46" s="289"/>
      <c r="G46" s="290"/>
    </row>
    <row r="47" spans="1:7" s="257" customFormat="1" ht="13.5" customHeight="1">
      <c r="A47" s="949" t="s">
        <v>792</v>
      </c>
      <c r="B47" s="291" t="s">
        <v>2416</v>
      </c>
      <c r="C47" s="281">
        <f ca="1">ROUND(C40*F27,4)</f>
        <v>7.4999999999999997E-3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3036</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2884</v>
      </c>
      <c r="D51" s="275"/>
      <c r="E51" s="275"/>
      <c r="F51" s="307"/>
      <c r="G51" s="277" t="s">
        <v>2426</v>
      </c>
    </row>
    <row r="52" spans="1:7" s="251" customFormat="1" ht="16.5" thickBot="1">
      <c r="A52" s="308" t="s">
        <v>2427</v>
      </c>
      <c r="B52" s="309"/>
      <c r="C52" s="310">
        <f ca="1">C31+C51</f>
        <v>6977</v>
      </c>
      <c r="D52" s="309"/>
      <c r="E52" s="309"/>
      <c r="F52" s="309"/>
      <c r="G52" s="311"/>
    </row>
    <row r="55" spans="1:7" ht="15">
      <c r="B55" s="313" t="s">
        <v>2428</v>
      </c>
      <c r="C55" s="314"/>
    </row>
    <row r="56" spans="1:7">
      <c r="B56" s="316" t="s">
        <v>1513</v>
      </c>
      <c r="C56" s="318">
        <f ca="1">1-C57</f>
        <v>0.58699999999999997</v>
      </c>
    </row>
    <row r="57" spans="1:7">
      <c r="B57" s="316" t="s">
        <v>1514</v>
      </c>
      <c r="C57" s="317">
        <f ca="1">ROUND(C51/C52,3)</f>
        <v>0.41299999999999998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63" sqref="C63"/>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39" t="s">
        <v>2805</v>
      </c>
      <c r="B1" s="240"/>
      <c r="C1" s="244" t="s">
        <v>2806</v>
      </c>
      <c r="D1" s="387">
        <f>SUM(D29:D30,D33:D39)</f>
        <v>9955.09</v>
      </c>
      <c r="E1" s="2714"/>
      <c r="F1" s="2714"/>
      <c r="G1" s="2714"/>
      <c r="H1" s="2714"/>
      <c r="I1" s="2714"/>
      <c r="J1" s="2714"/>
      <c r="K1" s="1368"/>
      <c r="L1" s="2715" t="s">
        <v>2807</v>
      </c>
      <c r="M1" s="1078">
        <f>SUMPRODUCT((区片价!B5:B9=I2)*(区片价!C3:F3=E2)*(区片价!C5:F9))</f>
        <v>0</v>
      </c>
      <c r="N1" s="1081">
        <f>SUMPRODUCT((因素修正幅度!B5:B9=I2)*(因素修正幅度!C3:F3=E2)*(因素修正幅度!C5:F9))</f>
        <v>0</v>
      </c>
      <c r="O1" s="2716"/>
      <c r="P1" s="2716"/>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4" t="s">
        <v>2813</v>
      </c>
      <c r="B2" s="247">
        <f ca="1">C26</f>
        <v>3693</v>
      </c>
      <c r="C2" s="2718" t="s">
        <v>2814</v>
      </c>
      <c r="D2" s="2719" t="s">
        <v>2815</v>
      </c>
      <c r="E2" s="2720" t="s">
        <v>27</v>
      </c>
      <c r="F2" s="2719" t="s">
        <v>2816</v>
      </c>
      <c r="G2" s="2721" t="str">
        <f>IF(E2="商业",项目基本情况!B37,IF(E2="办公",项目基本情况!C37,IF(E2="住宅",项目基本情况!D37,项目基本情况!E37)))</f>
        <v>五级</v>
      </c>
      <c r="H2" s="2719" t="s">
        <v>2817</v>
      </c>
      <c r="I2" s="2721" t="str">
        <f>IF(E2="商业",项目基本情况!B38,IF(E2="办公",项目基本情况!C38,IF(E2="住宅",项目基本情况!D38,项目基本情况!E38)))</f>
        <v>Ⅴ-05</v>
      </c>
      <c r="J2" s="2722"/>
      <c r="K2" s="1368"/>
      <c r="L2" s="2723"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26921</v>
      </c>
      <c r="U2" s="1601"/>
      <c r="V2" s="1600">
        <f ca="1">ROUND(T2*U2/10000,0)</f>
        <v>0</v>
      </c>
      <c r="W2" s="1604"/>
      <c r="X2" s="1604"/>
      <c r="Y2" s="1604"/>
      <c r="Z2" s="1604"/>
      <c r="AA2" s="1604"/>
      <c r="AB2" s="1604"/>
      <c r="AC2" s="1605"/>
      <c r="AD2" s="1606"/>
      <c r="AE2" s="1606"/>
      <c r="AF2" s="1606"/>
      <c r="AG2" s="1606"/>
      <c r="AH2" s="1606"/>
      <c r="AI2" s="1606"/>
      <c r="AJ2" s="1607"/>
    </row>
    <row r="3" spans="1:36" ht="15.75">
      <c r="A3" s="246" t="s">
        <v>2819</v>
      </c>
      <c r="B3" s="247">
        <f ca="1">ROUND(B2*10000/D1,0)</f>
        <v>3710</v>
      </c>
      <c r="C3" s="2718" t="s">
        <v>2820</v>
      </c>
      <c r="D3" s="2719" t="s">
        <v>2821</v>
      </c>
      <c r="E3" s="2724" t="s">
        <v>3151</v>
      </c>
      <c r="F3" s="2725" t="s">
        <v>2822</v>
      </c>
      <c r="G3" s="911">
        <f>IF(F3="宗地容积率",'数据-汇总表'!I4,IF(F3="估价对象容积率",'数据-汇总表'!I6,'数据-汇总表'!I7))</f>
        <v>1.6</v>
      </c>
      <c r="H3" s="197" t="s">
        <v>2823</v>
      </c>
      <c r="I3" s="942"/>
      <c r="J3" s="2722" t="s">
        <v>2824</v>
      </c>
      <c r="K3" s="1368"/>
      <c r="L3" s="2723"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19324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8"/>
      <c r="B4" s="3269"/>
      <c r="C4" s="3269"/>
      <c r="D4" s="3270"/>
      <c r="E4" s="3270"/>
      <c r="F4" s="3270"/>
      <c r="G4" s="3270"/>
      <c r="H4" s="3270"/>
      <c r="I4" s="3270"/>
      <c r="J4" s="3271"/>
      <c r="K4" s="1368"/>
      <c r="L4" s="2723"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15590</v>
      </c>
      <c r="U4" s="1601"/>
      <c r="V4" s="1600">
        <f t="shared" ca="1" si="1"/>
        <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2827</v>
      </c>
      <c r="C5" s="912">
        <f>ROUND(IF(E2="商业",IF(F16="增加",C6*C7+C16,C6*C7-C16),IF(E2="住宅",IF(F16="增加",C6*C12+C16,C6*C12-C16),IF(F16="增加",C6+C16,C6-C16))),0)</f>
        <v>12334</v>
      </c>
      <c r="D5" s="1785">
        <f>ROUND(IF(E2="商业",IF(F16="增加",C6+C16,C6-C16)),0)</f>
        <v>0</v>
      </c>
      <c r="E5" s="2728"/>
      <c r="F5" s="2728"/>
      <c r="G5" s="2729"/>
      <c r="H5" s="2729"/>
      <c r="I5" s="2729"/>
      <c r="J5" s="2730"/>
      <c r="K5" s="2731"/>
      <c r="L5" s="2723" t="s">
        <v>2828</v>
      </c>
      <c r="M5" s="1079">
        <f>SUMPRODUCT((区片价!B76:B109=I2)*(区片价!C3:F3=E2)*(区片价!C76:F109))</f>
        <v>12370</v>
      </c>
      <c r="N5" s="1081">
        <f>SUMPRODUCT((因素修正幅度!B76:B109=I2)*(因素修正幅度!C3:F3=E2)*(因素修正幅度!C76:F109))</f>
        <v>9.6000000000000002E-2</v>
      </c>
      <c r="O5" s="1368"/>
      <c r="P5" s="1368"/>
      <c r="Q5" s="1368"/>
      <c r="R5" s="1600">
        <v>4</v>
      </c>
      <c r="S5" s="1600">
        <f>ROUND(IF(G3&gt;1,IF(R5&lt;7,SUMPRODUCT((B93:B98=R5)*(C92:N92=G2)*(C93:N98)),SUMIF(C92:N92,G2,C100:N100)),IF(R5&lt;7,SUMPRODUCT((B102:B107=R5)*(C92:N92=G2)*(C102:N107)),SUMIF(C92:N92,G2,C109:N109))),4)</f>
        <v>0.86560000000000004</v>
      </c>
      <c r="T5" s="1600">
        <f t="shared" ca="1" si="0"/>
        <v>12509</v>
      </c>
      <c r="U5" s="1601"/>
      <c r="V5" s="1600">
        <f t="shared" ca="1" si="1"/>
        <v>0</v>
      </c>
      <c r="W5" s="1604"/>
      <c r="X5" s="1604"/>
      <c r="Y5" s="1604"/>
      <c r="Z5" s="1604"/>
      <c r="AA5" s="1604"/>
      <c r="AB5" s="1604"/>
      <c r="AC5" s="2732"/>
      <c r="AD5" s="2733"/>
      <c r="AE5" s="2733"/>
      <c r="AF5" s="2733"/>
      <c r="AG5" s="2733"/>
      <c r="AH5" s="2733"/>
      <c r="AI5" s="2733"/>
      <c r="AJ5" s="2734"/>
    </row>
    <row r="6" spans="1:36" ht="15.75" thickBot="1">
      <c r="A6" s="2736" t="s">
        <v>2829</v>
      </c>
      <c r="B6" s="2737" t="s">
        <v>2830</v>
      </c>
      <c r="C6" s="913">
        <f>SUMIF(L1:L12,G2,M1:M12)</f>
        <v>12370</v>
      </c>
      <c r="D6" s="2738" t="s">
        <v>2831</v>
      </c>
      <c r="E6" s="2739"/>
      <c r="F6" s="2739"/>
      <c r="G6" s="2740"/>
      <c r="H6" s="2740"/>
      <c r="I6" s="2740"/>
      <c r="J6" s="2741"/>
      <c r="K6" s="1840"/>
      <c r="L6" s="2723"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10652</v>
      </c>
      <c r="U6" s="1601"/>
      <c r="V6" s="1600">
        <f t="shared" ca="1" si="1"/>
        <v>0</v>
      </c>
      <c r="W6" s="1604"/>
      <c r="X6" s="1604"/>
      <c r="Y6" s="1604"/>
      <c r="Z6" s="1604"/>
      <c r="AA6" s="1604"/>
      <c r="AB6" s="1604"/>
      <c r="AC6" s="2732"/>
      <c r="AD6" s="2733"/>
      <c r="AE6" s="2733"/>
      <c r="AF6" s="2733"/>
      <c r="AG6" s="2733"/>
      <c r="AH6" s="2733"/>
      <c r="AI6" s="2733"/>
      <c r="AJ6" s="2734"/>
    </row>
    <row r="7" spans="1:36" ht="24">
      <c r="A7" s="3272" t="str">
        <f>IF(E2="商业",IF(C8="不临58条商业街","",2),"")</f>
        <v/>
      </c>
      <c r="B7" s="2742" t="s">
        <v>2833</v>
      </c>
      <c r="C7" s="914" t="e">
        <f>IF(C8="不临58条商业街",1,ROUND(1+(1.6*E8+1.2*E9+0.8*E10+0.4*E11)*C9,4))</f>
        <v>#DIV/0!</v>
      </c>
      <c r="D7" s="2743" t="s">
        <v>2834</v>
      </c>
      <c r="E7" s="943"/>
      <c r="F7" s="2744"/>
      <c r="G7" s="2745"/>
      <c r="H7" s="2745"/>
      <c r="I7" s="2745"/>
      <c r="J7" s="2746"/>
      <c r="K7" s="1840"/>
      <c r="L7" s="2723"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9367</v>
      </c>
      <c r="U7" s="1601"/>
      <c r="V7" s="1600">
        <f t="shared" ca="1" si="1"/>
        <v>0</v>
      </c>
      <c r="W7" s="1814" t="s">
        <v>2836</v>
      </c>
      <c r="X7" s="1602" t="str">
        <f>G2</f>
        <v>五级</v>
      </c>
      <c r="Y7" s="1602" t="s">
        <v>2837</v>
      </c>
      <c r="Z7" s="1603">
        <f>G3</f>
        <v>1.6</v>
      </c>
      <c r="AA7" s="1604"/>
      <c r="AB7" s="1604"/>
      <c r="AC7" s="1605"/>
      <c r="AD7" s="1606"/>
      <c r="AE7" s="1606"/>
      <c r="AF7" s="1606"/>
      <c r="AG7" s="1606"/>
      <c r="AH7" s="1606"/>
      <c r="AI7" s="1606"/>
      <c r="AJ7" s="1607"/>
    </row>
    <row r="8" spans="1:36" ht="15">
      <c r="A8" s="3273"/>
      <c r="B8" s="197" t="s">
        <v>2838</v>
      </c>
      <c r="C8" s="2747"/>
      <c r="D8" s="915" t="s">
        <v>139</v>
      </c>
      <c r="E8" s="916" t="e">
        <f>ROUND(C11/E7,4)</f>
        <v>#DIV/0!</v>
      </c>
      <c r="F8" s="2748" t="s">
        <v>2839</v>
      </c>
      <c r="G8" s="2749"/>
      <c r="H8" s="2749"/>
      <c r="I8" s="2749"/>
      <c r="J8" s="2750"/>
      <c r="K8" s="1368"/>
      <c r="L8" s="2723"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5" t="s">
        <v>2841</v>
      </c>
      <c r="X8" s="3266"/>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73"/>
      <c r="B9" s="197" t="s">
        <v>2854</v>
      </c>
      <c r="C9" s="917">
        <f>SUMIF(修正!C59:C119,C8,修正!E59:E119)</f>
        <v>0</v>
      </c>
      <c r="D9" s="199" t="s">
        <v>140</v>
      </c>
      <c r="E9" s="199" t="e">
        <f>ROUND(C11/E7,4)</f>
        <v>#DIV/0!</v>
      </c>
      <c r="F9" s="2748" t="s">
        <v>2855</v>
      </c>
      <c r="G9" s="2749"/>
      <c r="H9" s="2749"/>
      <c r="I9" s="2749"/>
      <c r="J9" s="2750"/>
      <c r="K9" s="1368"/>
      <c r="L9" s="2723"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7"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3"/>
      <c r="B10" s="197" t="s">
        <v>2859</v>
      </c>
      <c r="C10" s="199">
        <f>SUMIF(修正!C59:C119,C8,修正!F59:F119)</f>
        <v>0</v>
      </c>
      <c r="D10" s="199" t="s">
        <v>141</v>
      </c>
      <c r="E10" s="199" t="e">
        <f>ROUND(C11/E7,4)</f>
        <v>#DIV/0!</v>
      </c>
      <c r="F10" s="2748" t="s">
        <v>2860</v>
      </c>
      <c r="G10" s="2749"/>
      <c r="H10" s="2749"/>
      <c r="I10" s="2749"/>
      <c r="J10" s="2750"/>
      <c r="K10" s="1368"/>
      <c r="L10" s="2723"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3"/>
      <c r="B11" s="2751" t="s">
        <v>2862</v>
      </c>
      <c r="C11" s="918">
        <f>C10/4</f>
        <v>0</v>
      </c>
      <c r="D11" s="918" t="s">
        <v>142</v>
      </c>
      <c r="E11" s="918" t="e">
        <f>ROUND(C11/E7,4)</f>
        <v>#DIV/0!</v>
      </c>
      <c r="F11" s="2752" t="s">
        <v>2863</v>
      </c>
      <c r="G11" s="2753"/>
      <c r="H11" s="2753"/>
      <c r="I11" s="2753"/>
      <c r="J11" s="2754"/>
      <c r="K11" s="1368"/>
      <c r="L11" s="2723"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7" t="s">
        <v>2865</v>
      </c>
      <c r="X11" s="1612" t="s">
        <v>2866</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72" t="s">
        <v>2867</v>
      </c>
      <c r="B12" s="2755" t="s">
        <v>2868</v>
      </c>
      <c r="C12" s="914">
        <f>ROUND(C15*D15*E15*F15*G15*H15*I15*J15,4)</f>
        <v>1</v>
      </c>
      <c r="D12" s="2756" t="s">
        <v>2869</v>
      </c>
      <c r="E12" s="2757"/>
      <c r="F12" s="2757"/>
      <c r="G12" s="2758"/>
      <c r="H12" s="2758"/>
      <c r="I12" s="2758"/>
      <c r="J12" s="2759"/>
      <c r="K12" s="1368"/>
      <c r="L12" s="2760"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7"/>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4"/>
      <c r="B13" s="2761" t="s">
        <v>2872</v>
      </c>
      <c r="C13" s="2762" t="s">
        <v>2873</v>
      </c>
      <c r="D13" s="1806" t="s">
        <v>2874</v>
      </c>
      <c r="E13" s="1806" t="s">
        <v>2875</v>
      </c>
      <c r="F13" s="29" t="s">
        <v>2876</v>
      </c>
      <c r="G13" s="2763" t="s">
        <v>2877</v>
      </c>
      <c r="H13" s="2763" t="s">
        <v>2877</v>
      </c>
      <c r="I13" s="2763" t="s">
        <v>2877</v>
      </c>
      <c r="J13" s="2764" t="s">
        <v>2877</v>
      </c>
      <c r="K13" s="1368"/>
      <c r="L13" s="1368"/>
      <c r="M13" s="1368"/>
      <c r="N13" s="1368"/>
      <c r="O13" s="1368"/>
      <c r="P13" s="1368"/>
      <c r="Q13" s="1368"/>
      <c r="R13" s="1600">
        <v>12</v>
      </c>
      <c r="S13" s="1601"/>
      <c r="T13" s="1600">
        <f t="shared" ca="1" si="0"/>
        <v>0</v>
      </c>
      <c r="U13" s="1601"/>
      <c r="V13" s="1600">
        <f t="shared" ca="1" si="1"/>
        <v>0</v>
      </c>
      <c r="W13" s="3267"/>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74"/>
      <c r="B14" s="2765"/>
      <c r="C14" s="2766"/>
      <c r="D14" s="2767"/>
      <c r="E14" s="2767"/>
      <c r="F14" s="2768"/>
      <c r="G14" s="2769" t="s">
        <v>2878</v>
      </c>
      <c r="H14" s="2770"/>
      <c r="I14" s="2771"/>
      <c r="J14" s="2772"/>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75"/>
      <c r="B15" s="2773" t="s">
        <v>2879</v>
      </c>
      <c r="C15" s="228">
        <f>IF(C14="有",1.1,1)</f>
        <v>1</v>
      </c>
      <c r="D15" s="228">
        <f>IF(D14="有",1.1,1)</f>
        <v>1</v>
      </c>
      <c r="E15" s="228">
        <f>IF(E14="有",1.1,1)</f>
        <v>1</v>
      </c>
      <c r="F15" s="228">
        <f>IF(F14="500米范围内",1.2,IF(F14="500-1000米",1.1,1))</f>
        <v>1</v>
      </c>
      <c r="G15" s="944">
        <v>1</v>
      </c>
      <c r="H15" s="944">
        <v>1</v>
      </c>
      <c r="I15" s="944">
        <v>1</v>
      </c>
      <c r="J15" s="945">
        <v>1</v>
      </c>
      <c r="K15" s="1368"/>
      <c r="L15" s="2774" t="s">
        <v>2815</v>
      </c>
      <c r="M15" s="915" t="s">
        <v>2880</v>
      </c>
      <c r="N15" s="915" t="s">
        <v>2881</v>
      </c>
      <c r="O15" s="915" t="s">
        <v>2882</v>
      </c>
      <c r="P15" s="2775" t="s">
        <v>2883</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72" t="s">
        <v>2884</v>
      </c>
      <c r="B16" s="2742" t="s">
        <v>2885</v>
      </c>
      <c r="C16" s="1799">
        <f>ROUND(SUM(G17:J17)/C17,0)</f>
        <v>36</v>
      </c>
      <c r="D16" s="2776" t="s">
        <v>2886</v>
      </c>
      <c r="E16" s="2777" t="s">
        <v>3152</v>
      </c>
      <c r="F16" s="2778" t="s">
        <v>3153</v>
      </c>
      <c r="G16" s="2779" t="s">
        <v>3154</v>
      </c>
      <c r="H16" s="2779" t="s">
        <v>3155</v>
      </c>
      <c r="I16" s="2779"/>
      <c r="J16" s="2780"/>
      <c r="K16" s="1368"/>
      <c r="L16" s="2781" t="s">
        <v>2887</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73"/>
      <c r="B17" s="2782" t="s">
        <v>2888</v>
      </c>
      <c r="C17" s="919">
        <f>SUMPRODUCT((修正!A2:A5=E2)*(修正!B1:M1=G2)*(修正!B2:M5))</f>
        <v>2.5</v>
      </c>
      <c r="D17" s="2783" t="s">
        <v>2889</v>
      </c>
      <c r="E17" s="918" t="str">
        <f>IF(OR(G2="八级",G2="九级",G2="十级",G2="十一级",G2="十二级"),"五通一平","七通一平")</f>
        <v>七通一平</v>
      </c>
      <c r="F17" s="919" t="s">
        <v>2890</v>
      </c>
      <c r="G17" s="919">
        <f>SUMPRODUCT((七通一平=G16)*(修正!B1:M1=G2)*(修正!B6:M14))</f>
        <v>40</v>
      </c>
      <c r="H17" s="919">
        <f>SUMPRODUCT((七通一平=H16)*(修正!B1:M1=G2)*(修正!B6:M14))</f>
        <v>50</v>
      </c>
      <c r="I17" s="919">
        <f>SUMPRODUCT((七通一平=I16)*(修正!B1:M1=G2)*(修正!B6:M14))</f>
        <v>0</v>
      </c>
      <c r="J17" s="920">
        <f>SUMPRODUCT((七通一平=J16)*(修正!B1:M1=G2)*(修正!B6:M14))</f>
        <v>0</v>
      </c>
      <c r="K17" s="1368"/>
      <c r="L17" s="2784" t="s">
        <v>2891</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2892</v>
      </c>
      <c r="C18" s="921">
        <f>SUMIF(修正!C18:C39,E3,修正!E18:E39)</f>
        <v>0.9</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9.25" thickBot="1">
      <c r="A19" s="2786" t="s">
        <v>809</v>
      </c>
      <c r="B19" s="2787" t="s">
        <v>2893</v>
      </c>
      <c r="C19" s="922">
        <f>ROUND(IF(H19="按公示增长率计算",SUMPRODUCT((地价!A3:A22=YEAR(G19)&amp;"-"&amp;ROUNDUP(MONTH(G19)/3,0))*(地价!X2:AB2=E2)*(地价!X3:AB22)),IF(H19="地价指数",M20/M19,(1+I19)^O19)),4)</f>
        <v>1.2928999999999999</v>
      </c>
      <c r="D19" s="2794" t="s">
        <v>2894</v>
      </c>
      <c r="E19" s="923">
        <v>41640</v>
      </c>
      <c r="F19" s="2794" t="s">
        <v>2895</v>
      </c>
      <c r="G19" s="924">
        <f>'数据-取费表'!B2</f>
        <v>43236</v>
      </c>
      <c r="H19" s="2795" t="s">
        <v>3156</v>
      </c>
      <c r="I19" s="925" t="str">
        <f>IF(H19="季度增幅（自定义）",SUMIF(N21:N24,E2,O21:O24),"")</f>
        <v/>
      </c>
      <c r="J19" s="2792"/>
      <c r="K19" s="1375"/>
      <c r="L19" s="2796" t="s">
        <v>2896</v>
      </c>
      <c r="M19" s="1732">
        <f>ROUND(SUMIF(地价!B2:F2,E2,地价!B22:F22),0)</f>
        <v>258</v>
      </c>
      <c r="N19" s="2797" t="s">
        <v>2897</v>
      </c>
      <c r="O19" s="926">
        <f>ROUNDDOWN(DATEDIF(E19,G19,"M")/3,0)</f>
        <v>17</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2898</v>
      </c>
      <c r="C20" s="927">
        <f ca="1">ROUND(POWER(1+G20,J20-I20)*(POWER(1+G20,I20)-1)/(POWER(1+G20,J20)-1),4)</f>
        <v>0.96419999999999995</v>
      </c>
      <c r="D20" s="2803" t="s">
        <v>2899</v>
      </c>
      <c r="E20" s="1766">
        <f ca="1">存贷款利率!D4/100</f>
        <v>4.3499999999999997E-2</v>
      </c>
      <c r="F20" s="2803" t="s">
        <v>2891</v>
      </c>
      <c r="G20" s="932">
        <f ca="1">SUMIF(M15:P15,E2,M17:P17)</f>
        <v>5.1999999999999998E-2</v>
      </c>
      <c r="H20" s="2803" t="s">
        <v>2900</v>
      </c>
      <c r="I20" s="933">
        <f>SUMIF('数据-取费表'!C6:C15,E2,'数据-取费表'!F6:F15)/COUNTIF('数据-取费表'!C6:C15,E2)</f>
        <v>43.15</v>
      </c>
      <c r="J20" s="934">
        <f>IF(E2="住宅",70,IF(E2="商业",40,50))</f>
        <v>50</v>
      </c>
      <c r="K20" s="1375"/>
      <c r="L20" s="2804" t="s">
        <v>2901</v>
      </c>
      <c r="M20" s="1733">
        <f>ROUND(SUMPRODUCT((地价!A4:A22=YEAR(G19)&amp;"-"&amp;ROUNDUP(MONTH(G19)/3,0))*(地价!B2:F2=E2)*(地价!B4:F22)),0)</f>
        <v>333</v>
      </c>
      <c r="N20" s="2805" t="s">
        <v>2902</v>
      </c>
      <c r="O20" s="2806" t="s">
        <v>2903</v>
      </c>
      <c r="P20" s="2807" t="s">
        <v>2904</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3157</v>
      </c>
      <c r="C21" s="935">
        <f>IF(B21="容积率修正",IF(G3&lt;=10,D22,J22),C23)</f>
        <v>1.1453</v>
      </c>
      <c r="D21" s="2810"/>
      <c r="E21" s="2810"/>
      <c r="F21" s="2810"/>
      <c r="G21" s="2810"/>
      <c r="H21" s="2810"/>
      <c r="I21" s="2810"/>
      <c r="J21" s="2811"/>
      <c r="K21" s="1375"/>
      <c r="N21" s="2812" t="s">
        <v>2905</v>
      </c>
      <c r="O21" s="1559"/>
      <c r="P21" s="1560">
        <f>SUMPRODUCT((地价!A3:A22=YEAR(G19)&amp;"-"&amp;ROUNDUP(MONTH(G19)/3,0))*(地价!AD2:AH2=N21)*(地价!AD3:AH22))</f>
        <v>1.5699999999999999E-2</v>
      </c>
      <c r="R21" s="1374"/>
      <c r="S21" s="1374"/>
      <c r="T21" s="1369"/>
      <c r="U21" s="1369"/>
      <c r="V21" s="1369"/>
      <c r="W21" s="1368"/>
      <c r="X21" s="1368"/>
      <c r="Y21" s="1368"/>
      <c r="Z21" s="1375"/>
      <c r="AA21" s="1376"/>
      <c r="AB21" s="1376"/>
      <c r="AC21" s="1376"/>
      <c r="AD21" s="1376"/>
      <c r="AE21" s="1376"/>
      <c r="AF21" s="1376"/>
    </row>
    <row r="22" spans="1:37" s="2735" customFormat="1" ht="14.25">
      <c r="A22" s="2662" t="s">
        <v>2906</v>
      </c>
      <c r="B22" s="2813" t="s">
        <v>2907</v>
      </c>
      <c r="C22" s="1808" t="s">
        <v>2908</v>
      </c>
      <c r="D22" s="1808">
        <f>IF(E22=G22,F22,IF(G3&lt;=10,ROUND(F22+(H22-F22)*(G3-E22)/(G22-E22),4),"——"))</f>
        <v>1.1453</v>
      </c>
      <c r="E22" s="911">
        <f>ROUNDDOWN(G3,1)</f>
        <v>1.6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08" t="s">
        <v>155</v>
      </c>
      <c r="J22" s="936" t="str">
        <f>IF(G3&gt;10,D113,"——")</f>
        <v>——</v>
      </c>
      <c r="K22" s="1375"/>
      <c r="N22" s="2812" t="s">
        <v>2909</v>
      </c>
      <c r="O22" s="1559"/>
      <c r="P22" s="1560">
        <f>SUMPRODUCT((地价!A3:A22=YEAR(G19)&amp;"-"&amp;ROUNDUP(MONTH(G19)/3,0))*(地价!AD2:AH2=N22)*(地价!AD3:AH22))</f>
        <v>1.5699999999999999E-2</v>
      </c>
      <c r="R22" s="1374"/>
      <c r="S22" s="1374"/>
      <c r="T22" s="1369"/>
      <c r="U22" s="1369"/>
      <c r="V22" s="1369"/>
      <c r="W22" s="1368"/>
      <c r="X22" s="1368"/>
      <c r="Y22" s="1368"/>
      <c r="Z22" s="1375"/>
      <c r="AA22" s="1376"/>
      <c r="AB22" s="1376"/>
      <c r="AC22" s="1376"/>
      <c r="AD22" s="1376"/>
      <c r="AE22" s="1376"/>
      <c r="AF22" s="1376"/>
    </row>
    <row r="23" spans="1:37" ht="27.75" thickBot="1">
      <c r="A23" s="2662" t="s">
        <v>2910</v>
      </c>
      <c r="B23" s="2814" t="s">
        <v>2911</v>
      </c>
      <c r="C23" s="1011">
        <f>ROUND(IF(G3&gt;1,IF(I3&lt;7,SUMPRODUCT((B93:B98=I3)*(C92:N92=G2)*(C93:N98)),SUMIF(C92:N92,G2,C100:N100)),IF(I3&lt;7,SUMPRODUCT((B102:B107=I3)*(C92:N92=G2)*(C102:N107)),SUMIF(C92:N92,G2,C109:N109))),4)</f>
        <v>0</v>
      </c>
      <c r="D23" s="2770"/>
      <c r="E23" s="2770"/>
      <c r="F23" s="2815"/>
      <c r="G23" s="2816"/>
      <c r="H23" s="2817"/>
      <c r="I23" s="2818"/>
      <c r="J23" s="2819"/>
      <c r="K23" s="1368"/>
      <c r="N23" s="2812" t="s">
        <v>2912</v>
      </c>
      <c r="O23" s="1559"/>
      <c r="P23" s="1560">
        <f>SUMPRODUCT((地价!A3:A22=YEAR(G19)&amp;"-"&amp;ROUNDUP(MONTH(G19)/3,0))*(地价!AD2:AH2=N23)*(地价!AD3:AH22))</f>
        <v>2.5000000000000001E-2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2913</v>
      </c>
      <c r="C24" s="922">
        <f>SUMIF(A45:A88,E2,B45:B88)</f>
        <v>1.0443</v>
      </c>
      <c r="D24" s="2790"/>
      <c r="E24" s="2820"/>
      <c r="F24" s="2820"/>
      <c r="G24" s="2820"/>
      <c r="H24" s="2820"/>
      <c r="I24" s="2820"/>
      <c r="J24" s="2821"/>
      <c r="K24" s="1375"/>
      <c r="N24" s="2822" t="s">
        <v>2914</v>
      </c>
      <c r="O24" s="1561"/>
      <c r="P24" s="1562">
        <f>SUMPRODUCT((地价!A3:A22=YEAR(G19)&amp;"-"&amp;ROUNDUP(MONTH(G19)/3,0))*(地价!AD2:AH2=N24)*(地价!AD3:AH22))</f>
        <v>1.35E-2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2915</v>
      </c>
      <c r="C25" s="928"/>
      <c r="D25" s="2745"/>
      <c r="E25" s="2745"/>
      <c r="F25" s="2824"/>
      <c r="G25" s="2745"/>
      <c r="H25" s="2745"/>
      <c r="I25" s="2745"/>
      <c r="J25" s="2746"/>
      <c r="K25" s="1368"/>
      <c r="N25" s="2825" t="s">
        <v>2916</v>
      </c>
      <c r="O25" s="1563"/>
      <c r="P25" s="1562">
        <f>SUMPRODUCT((地价!A3:A22=YEAR(G19)&amp;"-"&amp;ROUNDUP(MONTH(G19)/3,0))*(地价!AD2:AH2=N25)*(地价!AD3:AH22))</f>
        <v>2.2700000000000001E-2</v>
      </c>
      <c r="R25" s="1374"/>
      <c r="S25" s="1374"/>
      <c r="T25" s="1369"/>
      <c r="U25" s="1369"/>
      <c r="V25" s="1369"/>
      <c r="W25" s="1368"/>
      <c r="X25" s="1368"/>
      <c r="Y25" s="1368"/>
      <c r="Z25" s="1375"/>
      <c r="AA25" s="1376"/>
      <c r="AB25" s="1376"/>
      <c r="AC25" s="1376"/>
      <c r="AD25" s="1376"/>
    </row>
    <row r="26" spans="1:37" ht="15">
      <c r="A26" s="2826"/>
      <c r="B26" s="2813" t="s">
        <v>2917</v>
      </c>
      <c r="C26" s="205">
        <f ca="1">E29+SUM(E33:E39)</f>
        <v>3693</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2918</v>
      </c>
      <c r="C27" s="929" t="e">
        <f ca="1">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2919</v>
      </c>
      <c r="C28" s="2837" t="s">
        <v>2920</v>
      </c>
      <c r="D28" s="2837" t="s">
        <v>2921</v>
      </c>
      <c r="E28" s="2838" t="s">
        <v>2922</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2923</v>
      </c>
      <c r="C29" s="205">
        <f ca="1">ROUND(C5*C18*C19*C20*C21*C24,0)</f>
        <v>16551</v>
      </c>
      <c r="D29" s="2842"/>
      <c r="E29" s="940">
        <f ca="1">ROUND(C29*D29/10000,0)</f>
        <v>0</v>
      </c>
      <c r="F29" s="2843" t="s">
        <v>2924</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2925</v>
      </c>
      <c r="C30" s="228">
        <f ca="1">ROUND(IF(E2="工业",C29*M39,C29*M38),0)</f>
        <v>4138</v>
      </c>
      <c r="D30" s="2848"/>
      <c r="E30" s="940">
        <f ca="1">ROUND(C30*D30/10000,0)</f>
        <v>0</v>
      </c>
      <c r="F30" s="2849" t="s">
        <v>2926</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500" t="s">
        <v>2920</v>
      </c>
      <c r="D32" s="497" t="s">
        <v>2921</v>
      </c>
      <c r="E32" s="497" t="s">
        <v>2922</v>
      </c>
      <c r="F32" s="387" t="s">
        <v>2930</v>
      </c>
      <c r="G32" s="2857" t="s">
        <v>2920</v>
      </c>
      <c r="H32" s="2857" t="s">
        <v>2921</v>
      </c>
      <c r="I32" s="2857" t="s">
        <v>2922</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82" t="s">
        <v>2931</v>
      </c>
      <c r="B33" s="2858" t="s">
        <v>2932</v>
      </c>
      <c r="C33" s="205">
        <f ca="1">ROUND(D5*C19*C20*C24*F33,0)</f>
        <v>0</v>
      </c>
      <c r="D33" s="2842"/>
      <c r="E33" s="199">
        <f ca="1">ROUND(C33*D33/10000,0)</f>
        <v>0</v>
      </c>
      <c r="F33" s="199">
        <f>SUMIF(修正!A45:A56,G2,修正!B45:B56)</f>
        <v>0.7</v>
      </c>
      <c r="G33" s="199">
        <f t="shared" ref="G33:G39" ca="1" si="6">ROUND(IF(E2="工业",C33*$M$39,C33*$M$38),0)</f>
        <v>0</v>
      </c>
      <c r="H33" s="199">
        <f>D33</f>
        <v>0</v>
      </c>
      <c r="I33" s="199">
        <f ca="1">ROUND(G33*H33/10000,0)</f>
        <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83"/>
      <c r="B34" s="2762" t="s">
        <v>2933</v>
      </c>
      <c r="C34" s="205">
        <f ca="1">ROUND(D5*C19*C20*C24*F34,0)</f>
        <v>0</v>
      </c>
      <c r="D34" s="2842"/>
      <c r="E34" s="199">
        <f t="shared" ref="E34:E39" ca="1" si="7">ROUND(C34*D34/10000,0)</f>
        <v>0</v>
      </c>
      <c r="F34" s="199">
        <f>SUMIF(修正!A45:A56,G2,修正!C45:C56)</f>
        <v>0.4</v>
      </c>
      <c r="G34" s="199">
        <f t="shared" ca="1" si="6"/>
        <v>0</v>
      </c>
      <c r="H34" s="199">
        <f t="shared" ref="H34:H39" si="8">D34</f>
        <v>0</v>
      </c>
      <c r="I34" s="199">
        <f t="shared" ref="I34:I39" ca="1" si="9">ROUND(G34*H34/10000,0)</f>
        <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83"/>
      <c r="B35" s="2762" t="s">
        <v>2934</v>
      </c>
      <c r="C35" s="205">
        <f ca="1">ROUND(D5*C19*C20*C24*F35,0)</f>
        <v>0</v>
      </c>
      <c r="D35" s="2842"/>
      <c r="E35" s="199">
        <f t="shared" ca="1" si="7"/>
        <v>0</v>
      </c>
      <c r="F35" s="199">
        <f>SUMIF(修正!A45:A56,G2,修正!D45:D56)</f>
        <v>0.28000000000000003</v>
      </c>
      <c r="G35" s="199">
        <f t="shared" ca="1" si="6"/>
        <v>0</v>
      </c>
      <c r="H35" s="199">
        <f t="shared" si="8"/>
        <v>0</v>
      </c>
      <c r="I35" s="199">
        <f t="shared" ca="1" si="9"/>
        <v>0</v>
      </c>
      <c r="J35" s="2859"/>
      <c r="K35" s="1368"/>
      <c r="L35" s="1368"/>
      <c r="M35" s="1368"/>
      <c r="N35" s="1368"/>
      <c r="O35" s="1368"/>
      <c r="P35" s="1368"/>
      <c r="Q35" s="1368"/>
      <c r="R35" s="1368"/>
      <c r="S35" s="1368"/>
      <c r="T35" s="1368"/>
      <c r="U35" s="1368"/>
      <c r="V35" s="1368"/>
      <c r="W35" s="1368"/>
      <c r="X35" s="1368"/>
      <c r="Y35" s="1368"/>
      <c r="Z35" s="1369"/>
    </row>
    <row r="36" spans="1:37" ht="13.5" thickBot="1">
      <c r="A36" s="3284"/>
      <c r="B36" s="2762" t="s">
        <v>2935</v>
      </c>
      <c r="C36" s="205">
        <f ca="1">ROUND(D5*C19*C20*C24*F36,0)</f>
        <v>0</v>
      </c>
      <c r="D36" s="2842"/>
      <c r="E36" s="199">
        <f t="shared" ca="1" si="7"/>
        <v>0</v>
      </c>
      <c r="F36" s="199">
        <f>SUMIF(修正!A45:A56,G2,修正!E45:E56)</f>
        <v>0.25</v>
      </c>
      <c r="G36" s="199">
        <f t="shared" ca="1" si="6"/>
        <v>0</v>
      </c>
      <c r="H36" s="199">
        <f t="shared" si="8"/>
        <v>0</v>
      </c>
      <c r="I36" s="199">
        <f t="shared" ca="1" si="9"/>
        <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2936</v>
      </c>
      <c r="C37" s="199">
        <f ca="1">ROUND(C5*C19*C20*C24*F37,0)</f>
        <v>4014</v>
      </c>
      <c r="D37" s="2842"/>
      <c r="E37" s="199">
        <f t="shared" ca="1" si="7"/>
        <v>0</v>
      </c>
      <c r="F37" s="205">
        <f>SUMIF(修正!A45:A56,G2,修正!F45:F56)</f>
        <v>0.25</v>
      </c>
      <c r="G37" s="199">
        <f t="shared" ca="1" si="6"/>
        <v>1004</v>
      </c>
      <c r="H37" s="199">
        <f t="shared" si="8"/>
        <v>0</v>
      </c>
      <c r="I37" s="199">
        <f t="shared" ca="1" si="9"/>
        <v>0</v>
      </c>
      <c r="J37" s="2859"/>
      <c r="K37" s="1368"/>
      <c r="L37" s="2861" t="s">
        <v>2937</v>
      </c>
      <c r="M37" s="2862"/>
      <c r="N37" s="1368"/>
      <c r="O37" s="1368"/>
      <c r="P37" s="1368"/>
      <c r="Q37" s="1368"/>
      <c r="R37" s="1368"/>
      <c r="S37" s="1368"/>
      <c r="T37" s="1368"/>
      <c r="U37" s="1368"/>
      <c r="V37" s="1368"/>
      <c r="W37" s="1368"/>
      <c r="X37" s="1368"/>
      <c r="Y37" s="1368"/>
      <c r="Z37" s="1369"/>
    </row>
    <row r="38" spans="1:37">
      <c r="A38" s="2860"/>
      <c r="B38" s="2762" t="s">
        <v>2938</v>
      </c>
      <c r="C38" s="199">
        <f ca="1">ROUND(C5*C19*C20*C24*F38,0)</f>
        <v>4014</v>
      </c>
      <c r="D38" s="2842">
        <f>'数据-汇总表'!G20</f>
        <v>6180.34</v>
      </c>
      <c r="E38" s="199">
        <f t="shared" ca="1" si="7"/>
        <v>2481</v>
      </c>
      <c r="F38" s="205">
        <f>SUMIF(修正!A45:A56,G2,修正!G45:G56)</f>
        <v>0.25</v>
      </c>
      <c r="G38" s="199">
        <f t="shared" ca="1" si="6"/>
        <v>1004</v>
      </c>
      <c r="H38" s="199">
        <f t="shared" si="8"/>
        <v>6180.34</v>
      </c>
      <c r="I38" s="199">
        <f t="shared" ca="1" si="9"/>
        <v>621</v>
      </c>
      <c r="J38" s="2859"/>
      <c r="K38" s="1368"/>
      <c r="L38" s="1885" t="s">
        <v>2939</v>
      </c>
      <c r="M38" s="2863">
        <v>0.25</v>
      </c>
      <c r="N38" s="1368"/>
      <c r="O38" s="1368"/>
      <c r="P38" s="1368"/>
      <c r="Q38" s="1368"/>
      <c r="R38" s="1368"/>
      <c r="S38" s="1368"/>
      <c r="T38" s="1368"/>
      <c r="U38" s="1368"/>
      <c r="V38" s="1368"/>
      <c r="W38" s="1368"/>
      <c r="X38" s="1368"/>
      <c r="Y38" s="1368"/>
      <c r="Z38" s="1369"/>
    </row>
    <row r="39" spans="1:37" ht="13.5" thickBot="1">
      <c r="A39" s="2846"/>
      <c r="B39" s="2864" t="s">
        <v>2940</v>
      </c>
      <c r="C39" s="228">
        <f ca="1">ROUND(C5*C19*C20*C24*F39,0)</f>
        <v>3211</v>
      </c>
      <c r="D39" s="2848">
        <f>'数据-汇总表'!G21</f>
        <v>3774.75</v>
      </c>
      <c r="E39" s="228">
        <f t="shared" ca="1" si="7"/>
        <v>1212</v>
      </c>
      <c r="F39" s="930">
        <f>SUMIF(修正!A45:A56,G2,修正!H45:H56)</f>
        <v>0.2</v>
      </c>
      <c r="G39" s="228" t="e">
        <f t="shared" si="6"/>
        <v>#DIV/0!</v>
      </c>
      <c r="H39" s="228">
        <f t="shared" si="8"/>
        <v>3774.75</v>
      </c>
      <c r="I39" s="228" t="e">
        <f t="shared" si="9"/>
        <v>#DIV/0!</v>
      </c>
      <c r="J39" s="2865"/>
      <c r="K39" s="1368"/>
      <c r="L39" s="2866" t="s">
        <v>2883</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2941</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2942</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2943</v>
      </c>
      <c r="B47" s="1807" t="s">
        <v>2944</v>
      </c>
      <c r="C47" s="1807" t="s">
        <v>2945</v>
      </c>
      <c r="D47" s="1807" t="s">
        <v>2946</v>
      </c>
      <c r="E47" s="814" t="s">
        <v>2947</v>
      </c>
      <c r="F47" s="2876" t="s">
        <v>2948</v>
      </c>
      <c r="G47" s="1807" t="s">
        <v>754</v>
      </c>
      <c r="H47" s="2877" t="s">
        <v>2949</v>
      </c>
      <c r="I47" s="1807" t="s">
        <v>2950</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38.25">
      <c r="A48" s="2875" t="s">
        <v>2951</v>
      </c>
      <c r="B48" s="2878" t="str">
        <f>估价对象房地状况!C4</f>
        <v>估价对象位于XX商圈，周边商业氛围成熟，人流量大，商业繁华度好</v>
      </c>
      <c r="C48" s="2767"/>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5" t="s">
        <v>2952</v>
      </c>
      <c r="B49" s="2879" t="str">
        <f>估价对象房地状况!C18</f>
        <v>估价对象周边道路通达、公共交通便捷、停车便捷，综合评价交通便捷度较好</v>
      </c>
      <c r="C49" s="2767"/>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2953</v>
      </c>
      <c r="B50" s="2879">
        <f>估价对象房地状况!C19</f>
        <v>0</v>
      </c>
      <c r="C50" s="2767"/>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2954</v>
      </c>
      <c r="B51" s="2880" t="s">
        <v>2955</v>
      </c>
      <c r="C51" s="2767"/>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2956</v>
      </c>
      <c r="B52" s="2879" t="str">
        <f>估价对象房地状况!C24</f>
        <v>支路——东北旺路</v>
      </c>
      <c r="C52" s="2767"/>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2957</v>
      </c>
      <c r="B53" s="2881" t="s">
        <v>2958</v>
      </c>
      <c r="C53" s="2767"/>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2" t="s">
        <v>2959</v>
      </c>
      <c r="B54" s="1723" t="str">
        <f>估价对象房地状况!C21</f>
        <v>估价对象所在区域公共配套设施较齐备</v>
      </c>
      <c r="C54" s="2767"/>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2" t="s">
        <v>2960</v>
      </c>
      <c r="B55" s="2879" t="str">
        <f>估价对象房地状况!C22</f>
        <v>估价对象所在区域基础设施水平达七通</v>
      </c>
      <c r="C55" s="2767"/>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3" t="s">
        <v>2961</v>
      </c>
      <c r="B56" s="2884" t="str">
        <f>估价对象房地状况!C20</f>
        <v>区域自然环境较好；人文环境一般；综合评价环境状况较好</v>
      </c>
      <c r="C56" s="2767"/>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2962</v>
      </c>
      <c r="B57" s="2872">
        <f>1+E59</f>
        <v>1.0443</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2943</v>
      </c>
      <c r="B58" s="1807"/>
      <c r="C58" s="1807" t="s">
        <v>2945</v>
      </c>
      <c r="D58" s="1807" t="s">
        <v>2946</v>
      </c>
      <c r="E58" s="814" t="s">
        <v>2947</v>
      </c>
      <c r="F58" s="2876" t="s">
        <v>2963</v>
      </c>
      <c r="G58" s="1807" t="s">
        <v>754</v>
      </c>
      <c r="H58" s="2877" t="s">
        <v>2949</v>
      </c>
      <c r="I58" s="1807" t="s">
        <v>2950</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38.25">
      <c r="A59" s="2875" t="s">
        <v>2964</v>
      </c>
      <c r="B59" s="2878" t="str">
        <f>估价对象房地状况!C17</f>
        <v>周边办公楼项目较多，入驻率高，办公集聚程度较好</v>
      </c>
      <c r="C59" s="2994" t="s">
        <v>3119</v>
      </c>
      <c r="D59" s="1284">
        <f t="shared" ref="D59:D67" si="15">SUMIF($J$58:$N$58,C59,J59:N59)</f>
        <v>1.15E-2</v>
      </c>
      <c r="E59" s="816">
        <f>ROUND(SUM(D59:D67),4)</f>
        <v>4.4299999999999999E-2</v>
      </c>
      <c r="F59" s="2499">
        <f>IF(E2="办公",SUMIF(L1:L12,G2,N1:N12),"——")</f>
        <v>9.6000000000000002E-2</v>
      </c>
      <c r="G59" s="1282">
        <v>1.15E-2</v>
      </c>
      <c r="H59" s="1286">
        <f t="shared" ref="H59:H67" si="16">IFERROR(ROUNDDOWN($F$59*I59/2,4),"——")</f>
        <v>1.15E-2</v>
      </c>
      <c r="I59" s="815">
        <v>0.24</v>
      </c>
      <c r="J59" s="1283">
        <f t="shared" ref="J59:J67" si="17">K59+$G59</f>
        <v>2.3E-2</v>
      </c>
      <c r="K59" s="1283">
        <f t="shared" ref="K59:K67" si="18">$L59+$G59</f>
        <v>1.15E-2</v>
      </c>
      <c r="L59" s="1283">
        <v>0</v>
      </c>
      <c r="M59" s="1283">
        <f t="shared" ref="M59:N67" si="19">L59-$G59</f>
        <v>-1.15E-2</v>
      </c>
      <c r="N59" s="1283">
        <f t="shared" si="19"/>
        <v>-2.3E-2</v>
      </c>
      <c r="AA59" s="1369"/>
      <c r="AB59" s="1369"/>
      <c r="AC59" s="1369"/>
      <c r="AD59" s="1369"/>
      <c r="AE59" s="1369"/>
      <c r="AF59" s="1369"/>
      <c r="AG59" s="1369"/>
      <c r="AH59" s="1369"/>
      <c r="AI59" s="1369"/>
      <c r="AJ59" s="1369"/>
      <c r="AK59" s="1369"/>
    </row>
    <row r="60" spans="1:37" s="1368" customFormat="1" ht="51">
      <c r="A60" s="2875" t="s">
        <v>2952</v>
      </c>
      <c r="B60" s="2879" t="str">
        <f>估价对象房地状况!C18</f>
        <v>估价对象周边道路通达、公共交通便捷、停车便捷，综合评价交通便捷度较好</v>
      </c>
      <c r="C60" s="2994" t="s">
        <v>3119</v>
      </c>
      <c r="D60" s="1284">
        <f t="shared" si="15"/>
        <v>1.44E-2</v>
      </c>
      <c r="E60" s="817"/>
      <c r="F60" s="2499"/>
      <c r="G60" s="1282">
        <v>1.44E-2</v>
      </c>
      <c r="H60" s="1286">
        <f t="shared" si="16"/>
        <v>1.44E-2</v>
      </c>
      <c r="I60" s="815">
        <v>0.3</v>
      </c>
      <c r="J60" s="1283">
        <f t="shared" si="17"/>
        <v>2.8799999999999999E-2</v>
      </c>
      <c r="K60" s="1283">
        <f t="shared" si="18"/>
        <v>1.44E-2</v>
      </c>
      <c r="L60" s="1283">
        <v>0</v>
      </c>
      <c r="M60" s="1283">
        <f t="shared" si="19"/>
        <v>-1.44E-2</v>
      </c>
      <c r="N60" s="1283">
        <f t="shared" si="19"/>
        <v>-2.8799999999999999E-2</v>
      </c>
      <c r="AA60" s="1369"/>
      <c r="AB60" s="1369"/>
      <c r="AC60" s="1369"/>
      <c r="AD60" s="1369"/>
      <c r="AE60" s="1369"/>
      <c r="AF60" s="1369"/>
      <c r="AG60" s="1369"/>
      <c r="AH60" s="1369"/>
      <c r="AI60" s="1369"/>
      <c r="AJ60" s="1369"/>
      <c r="AK60" s="1369"/>
    </row>
    <row r="61" spans="1:37" s="1368" customFormat="1" ht="24">
      <c r="A61" s="2875" t="s">
        <v>2953</v>
      </c>
      <c r="B61" s="2879">
        <f>估价对象房地状况!C19</f>
        <v>0</v>
      </c>
      <c r="C61" s="2994" t="s">
        <v>3119</v>
      </c>
      <c r="D61" s="1284">
        <f t="shared" si="15"/>
        <v>3.8E-3</v>
      </c>
      <c r="E61" s="817"/>
      <c r="F61" s="2499"/>
      <c r="G61" s="1282">
        <v>3.8E-3</v>
      </c>
      <c r="H61" s="1286">
        <f t="shared" si="16"/>
        <v>3.8E-3</v>
      </c>
      <c r="I61" s="815">
        <v>0.08</v>
      </c>
      <c r="J61" s="1283">
        <f t="shared" si="17"/>
        <v>7.6E-3</v>
      </c>
      <c r="K61" s="1283">
        <f t="shared" si="18"/>
        <v>3.8E-3</v>
      </c>
      <c r="L61" s="1283">
        <v>0</v>
      </c>
      <c r="M61" s="1283">
        <f t="shared" si="19"/>
        <v>-3.8E-3</v>
      </c>
      <c r="N61" s="1283">
        <f t="shared" si="19"/>
        <v>-7.6E-3</v>
      </c>
      <c r="AA61" s="1369"/>
      <c r="AB61" s="1369"/>
      <c r="AC61" s="1369"/>
      <c r="AD61" s="1369"/>
      <c r="AE61" s="1369"/>
      <c r="AF61" s="1369"/>
      <c r="AG61" s="1369"/>
      <c r="AH61" s="1369"/>
      <c r="AI61" s="1369"/>
      <c r="AJ61" s="1369"/>
      <c r="AK61" s="1369"/>
    </row>
    <row r="62" spans="1:37" s="1368" customFormat="1" ht="36.75">
      <c r="A62" s="2875" t="s">
        <v>2954</v>
      </c>
      <c r="B62" s="2880" t="s">
        <v>2955</v>
      </c>
      <c r="C62" s="2994" t="s">
        <v>3158</v>
      </c>
      <c r="D62" s="1284">
        <f t="shared" si="15"/>
        <v>0</v>
      </c>
      <c r="E62" s="817"/>
      <c r="F62" s="2499"/>
      <c r="G62" s="1282">
        <v>1.9E-3</v>
      </c>
      <c r="H62" s="1286">
        <f t="shared" si="16"/>
        <v>1.9E-3</v>
      </c>
      <c r="I62" s="815">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75" t="s">
        <v>2956</v>
      </c>
      <c r="B63" s="2879" t="str">
        <f>估价对象房地状况!C24</f>
        <v>支路——东北旺路</v>
      </c>
      <c r="C63" s="3016" t="s">
        <v>3193</v>
      </c>
      <c r="D63" s="1284">
        <f t="shared" si="15"/>
        <v>-4.7999999999999996E-3</v>
      </c>
      <c r="E63" s="817"/>
      <c r="F63" s="2499"/>
      <c r="G63" s="1282">
        <v>2.3999999999999998E-3</v>
      </c>
      <c r="H63" s="1286">
        <f t="shared" si="16"/>
        <v>2.3999999999999998E-3</v>
      </c>
      <c r="I63" s="815">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75" t="s">
        <v>2957</v>
      </c>
      <c r="B64" s="2881" t="s">
        <v>2958</v>
      </c>
      <c r="C64" s="2994" t="s">
        <v>3119</v>
      </c>
      <c r="D64" s="1284">
        <f t="shared" si="15"/>
        <v>2.3999999999999998E-3</v>
      </c>
      <c r="E64" s="817"/>
      <c r="F64" s="2499"/>
      <c r="G64" s="1282">
        <v>2.3999999999999998E-3</v>
      </c>
      <c r="H64" s="1286">
        <f t="shared" si="16"/>
        <v>2.3999999999999998E-3</v>
      </c>
      <c r="I64" s="815">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5.5">
      <c r="A65" s="2875" t="s">
        <v>2959</v>
      </c>
      <c r="B65" s="1723" t="str">
        <f>估价对象房地状况!C21</f>
        <v>估价对象所在区域公共配套设施较齐备</v>
      </c>
      <c r="C65" s="2994" t="s">
        <v>3119</v>
      </c>
      <c r="D65" s="1284">
        <f t="shared" si="15"/>
        <v>2.8E-3</v>
      </c>
      <c r="E65" s="817"/>
      <c r="F65" s="2499"/>
      <c r="G65" s="1282">
        <v>2.8E-3</v>
      </c>
      <c r="H65" s="1286">
        <f t="shared" si="16"/>
        <v>2.8E-3</v>
      </c>
      <c r="I65" s="815">
        <v>0.06</v>
      </c>
      <c r="J65" s="1283">
        <f t="shared" si="17"/>
        <v>5.5999999999999999E-3</v>
      </c>
      <c r="K65" s="1283">
        <f t="shared" si="18"/>
        <v>2.8E-3</v>
      </c>
      <c r="L65" s="1283">
        <v>0</v>
      </c>
      <c r="M65" s="1283">
        <f t="shared" si="19"/>
        <v>-2.8E-3</v>
      </c>
      <c r="N65" s="1283">
        <f t="shared" si="19"/>
        <v>-5.5999999999999999E-3</v>
      </c>
      <c r="AA65" s="1369"/>
      <c r="AB65" s="1369"/>
      <c r="AC65" s="1369"/>
      <c r="AD65" s="1369"/>
      <c r="AE65" s="1369"/>
      <c r="AF65" s="1369"/>
      <c r="AG65" s="1369"/>
      <c r="AH65" s="1369"/>
      <c r="AI65" s="1369"/>
      <c r="AJ65" s="1369"/>
      <c r="AK65" s="1369"/>
    </row>
    <row r="66" spans="1:37" s="1368" customFormat="1" ht="25.5">
      <c r="A66" s="2875" t="s">
        <v>2960</v>
      </c>
      <c r="B66" s="1723" t="str">
        <f>估价对象房地状况!C22</f>
        <v>估价对象所在区域基础设施水平达七通</v>
      </c>
      <c r="C66" s="2994" t="s">
        <v>3159</v>
      </c>
      <c r="D66" s="1284">
        <f t="shared" si="15"/>
        <v>1.14E-2</v>
      </c>
      <c r="E66" s="817"/>
      <c r="F66" s="2499"/>
      <c r="G66" s="1282">
        <v>5.7000000000000002E-3</v>
      </c>
      <c r="H66" s="1286">
        <f t="shared" si="16"/>
        <v>5.7000000000000002E-3</v>
      </c>
      <c r="I66" s="815">
        <v>0.12</v>
      </c>
      <c r="J66" s="1283">
        <f t="shared" si="17"/>
        <v>1.14E-2</v>
      </c>
      <c r="K66" s="1283">
        <f t="shared" si="18"/>
        <v>5.7000000000000002E-3</v>
      </c>
      <c r="L66" s="1283">
        <v>0</v>
      </c>
      <c r="M66" s="1283">
        <f t="shared" si="19"/>
        <v>-5.7000000000000002E-3</v>
      </c>
      <c r="N66" s="1283">
        <f t="shared" si="19"/>
        <v>-1.14E-2</v>
      </c>
      <c r="AA66" s="1369"/>
      <c r="AB66" s="1369"/>
      <c r="AC66" s="1369"/>
      <c r="AD66" s="1369"/>
      <c r="AE66" s="1369"/>
      <c r="AF66" s="1369"/>
      <c r="AG66" s="1369"/>
      <c r="AH66" s="1369"/>
      <c r="AI66" s="1369"/>
      <c r="AJ66" s="1369"/>
      <c r="AK66" s="1369"/>
    </row>
    <row r="67" spans="1:37" s="1368" customFormat="1" ht="39" thickBot="1">
      <c r="A67" s="2883" t="s">
        <v>2961</v>
      </c>
      <c r="B67" s="2885" t="str">
        <f>估价对象房地状况!C20</f>
        <v>区域自然环境较好；人文环境一般；综合评价环境状况较好</v>
      </c>
      <c r="C67" s="2994" t="s">
        <v>3119</v>
      </c>
      <c r="D67" s="1284">
        <f t="shared" si="15"/>
        <v>2.8E-3</v>
      </c>
      <c r="E67" s="820"/>
      <c r="F67" s="2499"/>
      <c r="G67" s="1282">
        <v>2.8E-3</v>
      </c>
      <c r="H67" s="1286">
        <f t="shared" si="16"/>
        <v>2.8E-3</v>
      </c>
      <c r="I67" s="819">
        <v>0.06</v>
      </c>
      <c r="J67" s="1283">
        <f t="shared" si="17"/>
        <v>5.5999999999999999E-3</v>
      </c>
      <c r="K67" s="1283">
        <f t="shared" si="18"/>
        <v>2.8E-3</v>
      </c>
      <c r="L67" s="1283">
        <v>0</v>
      </c>
      <c r="M67" s="1283">
        <f t="shared" si="19"/>
        <v>-2.8E-3</v>
      </c>
      <c r="N67" s="1283">
        <f t="shared" si="19"/>
        <v>-5.5999999999999999E-3</v>
      </c>
      <c r="AA67" s="1369"/>
      <c r="AB67" s="1369"/>
      <c r="AC67" s="1369"/>
      <c r="AD67" s="1369"/>
      <c r="AE67" s="1369"/>
      <c r="AF67" s="1369"/>
      <c r="AG67" s="1369"/>
      <c r="AH67" s="1369"/>
      <c r="AI67" s="1369"/>
      <c r="AJ67" s="1369"/>
      <c r="AK67" s="1369"/>
    </row>
    <row r="68" spans="1:37" s="1368" customFormat="1" ht="15">
      <c r="A68" s="2871" t="s">
        <v>2965</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2943</v>
      </c>
      <c r="B69" s="1807"/>
      <c r="C69" s="1807" t="s">
        <v>2945</v>
      </c>
      <c r="D69" s="1807" t="s">
        <v>2946</v>
      </c>
      <c r="E69" s="814" t="s">
        <v>2947</v>
      </c>
      <c r="F69" s="2876" t="s">
        <v>2963</v>
      </c>
      <c r="G69" s="1807" t="s">
        <v>754</v>
      </c>
      <c r="H69" s="2877" t="s">
        <v>2949</v>
      </c>
      <c r="I69" s="1807" t="s">
        <v>2950</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51">
      <c r="A70" s="2875" t="s">
        <v>2966</v>
      </c>
      <c r="B70" s="2878" t="str">
        <f>估价对象房地状况!C15</f>
        <v>估价对象周边居住用地比例、居住小区规模和社区发展完善程度，综合评价居住社区成熟度一般</v>
      </c>
      <c r="C70" s="2767"/>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5" t="s">
        <v>2952</v>
      </c>
      <c r="B71" s="2879" t="str">
        <f>估价对象房地状况!C18</f>
        <v>估价对象周边道路通达、公共交通便捷、停车便捷，综合评价交通便捷度较好</v>
      </c>
      <c r="C71" s="2767"/>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2953</v>
      </c>
      <c r="B72" s="2879">
        <f>估价对象房地状况!C19</f>
        <v>0</v>
      </c>
      <c r="C72" s="2767"/>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2967</v>
      </c>
      <c r="B73" s="2879" t="str">
        <f>估价对象房地状况!C24</f>
        <v>支路——东北旺路</v>
      </c>
      <c r="C73" s="2767"/>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5" t="s">
        <v>2959</v>
      </c>
      <c r="B74" s="1723" t="str">
        <f>估价对象房地状况!C21</f>
        <v>估价对象所在区域公共配套设施较齐备</v>
      </c>
      <c r="C74" s="2767"/>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5" t="s">
        <v>2960</v>
      </c>
      <c r="B75" s="1723" t="str">
        <f>估价对象房地状况!C22</f>
        <v>估价对象所在区域基础设施水平达七通</v>
      </c>
      <c r="C75" s="2767"/>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2957</v>
      </c>
      <c r="B76" s="2881" t="s">
        <v>2958</v>
      </c>
      <c r="C76" s="2767"/>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38.25">
      <c r="A77" s="2875" t="s">
        <v>2961</v>
      </c>
      <c r="B77" s="2878" t="str">
        <f>估价对象房地状况!C20</f>
        <v>区域自然环境较好；人文环境一般；综合评价环境状况较好</v>
      </c>
      <c r="C77" s="2767"/>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2968</v>
      </c>
      <c r="B78" s="2887"/>
      <c r="C78" s="2767"/>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2969</v>
      </c>
      <c r="B79" s="2872">
        <f>1+E81</f>
        <v>1</v>
      </c>
      <c r="C79" s="809"/>
      <c r="D79" s="809"/>
      <c r="E79" s="810"/>
      <c r="F79" s="2874"/>
      <c r="G79" s="6"/>
      <c r="H79" s="6"/>
      <c r="I79" s="6"/>
      <c r="J79" s="7"/>
      <c r="K79" s="7"/>
      <c r="L79" s="7"/>
      <c r="M79" s="7"/>
      <c r="N79" s="7"/>
      <c r="Z79" s="2717"/>
      <c r="AA79" s="2793"/>
      <c r="AG79" s="1370"/>
      <c r="AK79" s="2793"/>
    </row>
    <row r="80" spans="1:37" ht="24.75">
      <c r="A80" s="2875" t="s">
        <v>2943</v>
      </c>
      <c r="B80" s="1807"/>
      <c r="C80" s="1807" t="s">
        <v>2945</v>
      </c>
      <c r="D80" s="1807" t="s">
        <v>2946</v>
      </c>
      <c r="E80" s="814" t="s">
        <v>2947</v>
      </c>
      <c r="F80" s="2876" t="s">
        <v>2963</v>
      </c>
      <c r="G80" s="1807" t="s">
        <v>754</v>
      </c>
      <c r="H80" s="2877" t="s">
        <v>2949</v>
      </c>
      <c r="I80" s="1807" t="s">
        <v>2950</v>
      </c>
      <c r="J80" s="602" t="s">
        <v>2598</v>
      </c>
      <c r="K80" s="602" t="s">
        <v>2599</v>
      </c>
      <c r="L80" s="602" t="s">
        <v>2600</v>
      </c>
      <c r="M80" s="602" t="s">
        <v>2601</v>
      </c>
      <c r="N80" s="602" t="s">
        <v>2602</v>
      </c>
      <c r="Z80" s="2717"/>
      <c r="AA80" s="2793"/>
      <c r="AG80" s="1370"/>
      <c r="AK80" s="2793"/>
    </row>
    <row r="81" spans="1:37" ht="38.25">
      <c r="A81" s="2875" t="s">
        <v>2970</v>
      </c>
      <c r="B81" s="2879" t="str">
        <f>估价对象房地状况!G15</f>
        <v>估价对象位于XX开发区，园区建设成熟度XX，产业集聚程度XX</v>
      </c>
      <c r="C81" s="2767"/>
      <c r="D81" s="1284">
        <f t="shared" ref="D81:D88" si="25">SUMIF($J$80:$N$80,C81,J81:N81)</f>
        <v>0</v>
      </c>
      <c r="E81" s="816">
        <f>ROUND(SUM(D81:D88),4)</f>
        <v>0</v>
      </c>
      <c r="F81" s="2499"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2952</v>
      </c>
      <c r="B82" s="2879" t="str">
        <f>估价对象房地状况!G16</f>
        <v>估价对象周边道路状况、公共交通通达情况、停车便捷程度，综合评价交通便捷度较好</v>
      </c>
      <c r="C82" s="2767"/>
      <c r="D82" s="1284">
        <f t="shared" si="25"/>
        <v>0</v>
      </c>
      <c r="E82" s="821"/>
      <c r="F82" s="2499"/>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2953</v>
      </c>
      <c r="B83" s="2879">
        <f>估价对象房地状况!G17</f>
        <v>0</v>
      </c>
      <c r="C83" s="2767"/>
      <c r="D83" s="1284">
        <f t="shared" si="25"/>
        <v>0</v>
      </c>
      <c r="E83" s="821"/>
      <c r="F83" s="2499"/>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2967</v>
      </c>
      <c r="B84" s="2879">
        <f>估价对象房地状况!G22</f>
        <v>0</v>
      </c>
      <c r="C84" s="2767"/>
      <c r="D84" s="1284">
        <f t="shared" si="25"/>
        <v>0</v>
      </c>
      <c r="E84" s="821"/>
      <c r="F84" s="2499"/>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2959</v>
      </c>
      <c r="B85" s="1723" t="str">
        <f>估价对象房地状况!G19</f>
        <v>估价对象所在区域公共配套设施齐备情况</v>
      </c>
      <c r="C85" s="2767"/>
      <c r="D85" s="1284">
        <f t="shared" si="25"/>
        <v>0</v>
      </c>
      <c r="E85" s="821"/>
      <c r="F85" s="2499"/>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2960</v>
      </c>
      <c r="B86" s="1723" t="str">
        <f>估价对象房地状况!G20</f>
        <v>估价对象所在区域基础设施水平</v>
      </c>
      <c r="C86" s="2767"/>
      <c r="D86" s="1284">
        <f t="shared" si="25"/>
        <v>0</v>
      </c>
      <c r="E86" s="821"/>
      <c r="F86" s="2499"/>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2957</v>
      </c>
      <c r="B87" s="2881" t="s">
        <v>2971</v>
      </c>
      <c r="C87" s="2767"/>
      <c r="D87" s="1284">
        <f t="shared" si="25"/>
        <v>0</v>
      </c>
      <c r="E87" s="821"/>
      <c r="F87" s="2499"/>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2972</v>
      </c>
      <c r="B88" s="2888" t="str">
        <f>估价对象房地状况!G18</f>
        <v>该园区内是否有污染型企业，绿化情况，卫生条件，整体环境状况判断</v>
      </c>
      <c r="C88" s="2767"/>
      <c r="D88" s="1284">
        <f t="shared" si="25"/>
        <v>0</v>
      </c>
      <c r="E88" s="822"/>
      <c r="F88" s="2499"/>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76" t="s">
        <v>2973</v>
      </c>
      <c r="B90" s="3276"/>
      <c r="C90" s="3276"/>
      <c r="D90" s="3276"/>
      <c r="E90" s="3276"/>
      <c r="F90" s="3276"/>
      <c r="G90" s="3276"/>
      <c r="H90" s="3276"/>
      <c r="I90" s="3276"/>
      <c r="J90" s="3276"/>
      <c r="K90" s="2889"/>
      <c r="L90" s="2889"/>
      <c r="M90" s="2889"/>
      <c r="N90" s="2889"/>
    </row>
    <row r="91" spans="1:37">
      <c r="A91" s="3278" t="s">
        <v>2974</v>
      </c>
      <c r="B91" s="3278" t="s">
        <v>2975</v>
      </c>
      <c r="C91" s="2843" t="s">
        <v>2976</v>
      </c>
      <c r="D91" s="2844"/>
      <c r="E91" s="2844"/>
      <c r="F91" s="2844"/>
      <c r="G91" s="2844"/>
      <c r="H91" s="2844"/>
      <c r="I91" s="2844"/>
      <c r="J91" s="2890"/>
      <c r="K91" s="2891"/>
      <c r="L91" s="2891"/>
      <c r="M91" s="2891"/>
      <c r="N91" s="2891"/>
    </row>
    <row r="92" spans="1:37">
      <c r="A92" s="3278"/>
      <c r="B92" s="3278"/>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79"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8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8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8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8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8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80"/>
      <c r="B99" s="2892" t="s">
        <v>2858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8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79" t="s">
        <v>2978</v>
      </c>
      <c r="B101" s="2896" t="s">
        <v>2979</v>
      </c>
      <c r="C101" s="2897">
        <f>$G$3</f>
        <v>1.6</v>
      </c>
      <c r="D101" s="2897">
        <f t="shared" ref="D101:N101" si="31">$G$3</f>
        <v>1.6</v>
      </c>
      <c r="E101" s="2897">
        <f t="shared" si="31"/>
        <v>1.6</v>
      </c>
      <c r="F101" s="2897">
        <f t="shared" si="31"/>
        <v>1.6</v>
      </c>
      <c r="G101" s="2897">
        <f t="shared" si="31"/>
        <v>1.6</v>
      </c>
      <c r="H101" s="2897">
        <f t="shared" si="31"/>
        <v>1.6</v>
      </c>
      <c r="I101" s="2897">
        <f t="shared" si="31"/>
        <v>1.6</v>
      </c>
      <c r="J101" s="2897">
        <f t="shared" si="31"/>
        <v>1.6</v>
      </c>
      <c r="K101" s="2897">
        <f t="shared" si="31"/>
        <v>1.6</v>
      </c>
      <c r="L101" s="2897">
        <f t="shared" si="31"/>
        <v>1.6</v>
      </c>
      <c r="M101" s="2897">
        <f t="shared" si="31"/>
        <v>1.6</v>
      </c>
      <c r="N101" s="2897">
        <f t="shared" si="31"/>
        <v>1.6</v>
      </c>
    </row>
    <row r="102" spans="1:14">
      <c r="A102" s="3280"/>
      <c r="B102" s="2892">
        <v>1</v>
      </c>
      <c r="C102" s="2893">
        <f>1.9362/C101</f>
        <v>1.2101249999999999</v>
      </c>
      <c r="D102" s="2893">
        <f>1.9362/D101</f>
        <v>1.2101249999999999</v>
      </c>
      <c r="E102" s="2893">
        <f>1.8629/E101</f>
        <v>1.1643124999999999</v>
      </c>
      <c r="F102" s="2893">
        <f>1.8629/F101</f>
        <v>1.1643124999999999</v>
      </c>
      <c r="G102" s="2893">
        <f>1.8629/G101</f>
        <v>1.1643124999999999</v>
      </c>
      <c r="H102" s="2893">
        <f>1.8629/H101</f>
        <v>1.1643124999999999</v>
      </c>
      <c r="I102" s="2893">
        <f>1.8629/I101</f>
        <v>1.1643124999999999</v>
      </c>
      <c r="J102" s="2893">
        <f>1.942/J101</f>
        <v>1.2137499999999999</v>
      </c>
      <c r="K102" s="2893">
        <f>1.942/K101</f>
        <v>1.2137499999999999</v>
      </c>
      <c r="L102" s="2893">
        <f>1.942/L101</f>
        <v>1.2137499999999999</v>
      </c>
      <c r="M102" s="2893">
        <f>1.942/M101</f>
        <v>1.2137499999999999</v>
      </c>
      <c r="N102" s="2893">
        <f>1.942/N101</f>
        <v>1.2137499999999999</v>
      </c>
    </row>
    <row r="103" spans="1:14">
      <c r="A103" s="3280"/>
      <c r="B103" s="2892">
        <v>2</v>
      </c>
      <c r="C103" s="2893">
        <f>1.4198/C101</f>
        <v>0.88737499999999991</v>
      </c>
      <c r="D103" s="2893">
        <f>1.4198/D101</f>
        <v>0.88737499999999991</v>
      </c>
      <c r="E103" s="2893">
        <f>1.3372/E101</f>
        <v>0.83574999999999988</v>
      </c>
      <c r="F103" s="2893">
        <f>1.3372/F101</f>
        <v>0.83574999999999988</v>
      </c>
      <c r="G103" s="2893">
        <f>1.3372/G101</f>
        <v>0.83574999999999988</v>
      </c>
      <c r="H103" s="2893">
        <f>1.3372/H101</f>
        <v>0.83574999999999988</v>
      </c>
      <c r="I103" s="2893">
        <f>1.3372/I101</f>
        <v>0.83574999999999988</v>
      </c>
      <c r="J103" s="2893">
        <f>1.2799/J101</f>
        <v>0.79993749999999997</v>
      </c>
      <c r="K103" s="2893">
        <f>1.2799/K101</f>
        <v>0.79993749999999997</v>
      </c>
      <c r="L103" s="2893">
        <f>1.2799/L101</f>
        <v>0.79993749999999997</v>
      </c>
      <c r="M103" s="2893">
        <f>1.2799/M101</f>
        <v>0.79993749999999997</v>
      </c>
      <c r="N103" s="2893">
        <f>1.2799/N101</f>
        <v>0.79993749999999997</v>
      </c>
    </row>
    <row r="104" spans="1:14">
      <c r="A104" s="3280"/>
      <c r="B104" s="2892">
        <v>3</v>
      </c>
      <c r="C104" s="2893">
        <f>1.1594/C101</f>
        <v>0.72462499999999996</v>
      </c>
      <c r="D104" s="2893">
        <f>1.1594/D101</f>
        <v>0.72462499999999996</v>
      </c>
      <c r="E104" s="2893">
        <f>1.0788/E101</f>
        <v>0.6742499999999999</v>
      </c>
      <c r="F104" s="2893">
        <f>1.0788/F101</f>
        <v>0.6742499999999999</v>
      </c>
      <c r="G104" s="2893">
        <f>1.0788/G101</f>
        <v>0.6742499999999999</v>
      </c>
      <c r="H104" s="2893">
        <f>1.0788/H101</f>
        <v>0.6742499999999999</v>
      </c>
      <c r="I104" s="2893">
        <f>1.0788/I101</f>
        <v>0.6742499999999999</v>
      </c>
      <c r="J104" s="2893">
        <f>1.0072/J101</f>
        <v>0.62950000000000006</v>
      </c>
      <c r="K104" s="2893">
        <f>1.0072/K101</f>
        <v>0.62950000000000006</v>
      </c>
      <c r="L104" s="2893">
        <f>1.0072/L101</f>
        <v>0.62950000000000006</v>
      </c>
      <c r="M104" s="2893">
        <f>1.0072/M101</f>
        <v>0.62950000000000006</v>
      </c>
      <c r="N104" s="2893">
        <f>1.0072/N101</f>
        <v>0.62950000000000006</v>
      </c>
    </row>
    <row r="105" spans="1:14">
      <c r="A105" s="3280"/>
      <c r="B105" s="2892">
        <v>4</v>
      </c>
      <c r="C105" s="2893">
        <f>0.9622/C101</f>
        <v>0.60137499999999999</v>
      </c>
      <c r="D105" s="2893">
        <f>0.9622/D101</f>
        <v>0.60137499999999999</v>
      </c>
      <c r="E105" s="2893">
        <f>0.8656/E101</f>
        <v>0.54100000000000004</v>
      </c>
      <c r="F105" s="2893">
        <f>0.8656/F101</f>
        <v>0.54100000000000004</v>
      </c>
      <c r="G105" s="2893">
        <f>0.8656/G101</f>
        <v>0.54100000000000004</v>
      </c>
      <c r="H105" s="2893">
        <f>0.8656/H101</f>
        <v>0.54100000000000004</v>
      </c>
      <c r="I105" s="2893">
        <f>0.8656/I101</f>
        <v>0.54100000000000004</v>
      </c>
      <c r="J105" s="2893">
        <f>0.7525/J101</f>
        <v>0.47031249999999997</v>
      </c>
      <c r="K105" s="2893">
        <f>0.7525/K101</f>
        <v>0.47031249999999997</v>
      </c>
      <c r="L105" s="2893">
        <f>0.7525/L101</f>
        <v>0.47031249999999997</v>
      </c>
      <c r="M105" s="2893">
        <f>0.7525/M101</f>
        <v>0.47031249999999997</v>
      </c>
      <c r="N105" s="2893">
        <f>0.7525/N101</f>
        <v>0.47031249999999997</v>
      </c>
    </row>
    <row r="106" spans="1:14">
      <c r="A106" s="3280"/>
      <c r="B106" s="2892">
        <v>5</v>
      </c>
      <c r="C106" s="2893">
        <f>0.8417/C101</f>
        <v>0.52606249999999999</v>
      </c>
      <c r="D106" s="2893">
        <f>0.8417/D101</f>
        <v>0.52606249999999999</v>
      </c>
      <c r="E106" s="2893">
        <f>0.7371/E101</f>
        <v>0.46068749999999997</v>
      </c>
      <c r="F106" s="2893">
        <f>0.7371/F101</f>
        <v>0.46068749999999997</v>
      </c>
      <c r="G106" s="2893">
        <f>0.7371/G101</f>
        <v>0.46068749999999997</v>
      </c>
      <c r="H106" s="2893">
        <f>0.7371/H101</f>
        <v>0.46068749999999997</v>
      </c>
      <c r="I106" s="2893">
        <f>0.7371/I101</f>
        <v>0.46068749999999997</v>
      </c>
      <c r="J106" s="2893">
        <f>0.5659/J101</f>
        <v>0.35368749999999993</v>
      </c>
      <c r="K106" s="2893">
        <f>0.5659/K101</f>
        <v>0.35368749999999993</v>
      </c>
      <c r="L106" s="2893">
        <f>0.5659/L101</f>
        <v>0.35368749999999993</v>
      </c>
      <c r="M106" s="2893">
        <f>0.5659/M101</f>
        <v>0.35368749999999993</v>
      </c>
      <c r="N106" s="2893">
        <f>0.5659/N101</f>
        <v>0.35368749999999993</v>
      </c>
    </row>
    <row r="107" spans="1:14">
      <c r="A107" s="3280"/>
      <c r="B107" s="2892">
        <v>6</v>
      </c>
      <c r="C107" s="2893">
        <f>0.7608/C101</f>
        <v>0.47549999999999998</v>
      </c>
      <c r="D107" s="2893">
        <f>0.7608/D101</f>
        <v>0.47549999999999998</v>
      </c>
      <c r="E107" s="2893">
        <f>0.6482/E101</f>
        <v>0.40512499999999996</v>
      </c>
      <c r="F107" s="2893">
        <f>0.6482/F101</f>
        <v>0.40512499999999996</v>
      </c>
      <c r="G107" s="2893">
        <f>0.6482/G101</f>
        <v>0.40512499999999996</v>
      </c>
      <c r="H107" s="2893">
        <f>0.6482/H101</f>
        <v>0.40512499999999996</v>
      </c>
      <c r="I107" s="2893">
        <f>0.6482/I101</f>
        <v>0.40512499999999996</v>
      </c>
      <c r="J107" s="2893">
        <f>0.4525/J101</f>
        <v>0.28281249999999997</v>
      </c>
      <c r="K107" s="2893">
        <f>0.4525/K101</f>
        <v>0.28281249999999997</v>
      </c>
      <c r="L107" s="2893">
        <f>0.4525/L101</f>
        <v>0.28281249999999997</v>
      </c>
      <c r="M107" s="2893">
        <f>0.4525/M101</f>
        <v>0.28281249999999997</v>
      </c>
      <c r="N107" s="2893">
        <f>0.4525/N101</f>
        <v>0.28281249999999997</v>
      </c>
    </row>
    <row r="108" spans="1:14">
      <c r="A108" s="3280"/>
      <c r="B108" s="3168" t="s">
        <v>2980</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81"/>
      <c r="B109" s="3169"/>
      <c r="C109" s="2895">
        <f>(-0.163*(C108^2)-0.59*C108+7617)*(10^(-4))/C101</f>
        <v>0.4760625</v>
      </c>
      <c r="D109" s="2895">
        <f>(-0.163*(D108^2)-0.59*D108+7617)*(10^(-4))/D101</f>
        <v>0.4760625</v>
      </c>
      <c r="E109" s="2895">
        <f>(-0.161*(E108^2)-7.509*E108+6533)*(10^(-4))/E101</f>
        <v>0.40831249999999997</v>
      </c>
      <c r="F109" s="2895">
        <f>(-0.161*(F108^2)-7.509*F108+6533)*(10^(-4))/F101</f>
        <v>0.40831249999999997</v>
      </c>
      <c r="G109" s="2895">
        <f>(-0.161*(G108^2)-7.509*G108+6533)*(10^(-4))/G101</f>
        <v>0.40831249999999997</v>
      </c>
      <c r="H109" s="2895">
        <f>(-0.161*(H108^2)-7.509*H108+6533)*(10^(-4))/H101</f>
        <v>0.40831249999999997</v>
      </c>
      <c r="I109" s="2895">
        <f>(-0.161*(I108^2)-7.509*I108+6533)*(10^(-4))/I101</f>
        <v>0.40831249999999997</v>
      </c>
      <c r="J109" s="2895">
        <f>(-0.214*(J108^2)-21.991*J108+4665)*(10^(-4))/J101</f>
        <v>0.2915625</v>
      </c>
      <c r="K109" s="2895">
        <f>(-0.214*(K108^2)-21.991*K108+4665)*(10^(-4))/K101</f>
        <v>0.2915625</v>
      </c>
      <c r="L109" s="2895">
        <f>(-0.214*(L108^2)-21.991*L108+4665)*(10^(-4))/L101</f>
        <v>0.2915625</v>
      </c>
      <c r="M109" s="2895">
        <f>(-0.214*(M108^2)-21.991*M108+4665)*(10^(-4))/M101</f>
        <v>0.2915625</v>
      </c>
      <c r="N109" s="2895">
        <f>(-0.214*(N108^2)-21.991*N108+4665)*(10^(-4))/N101</f>
        <v>0.2915625</v>
      </c>
    </row>
    <row r="110" spans="1:14">
      <c r="A110" s="3277" t="s">
        <v>2981</v>
      </c>
      <c r="B110" s="3277"/>
      <c r="C110" s="3277"/>
      <c r="D110" s="3277"/>
      <c r="E110" s="3277"/>
      <c r="F110" s="3277"/>
      <c r="G110" s="3277"/>
      <c r="H110" s="3277"/>
      <c r="I110" s="3277"/>
      <c r="J110" s="3277"/>
      <c r="K110" s="2898"/>
      <c r="L110" s="2898"/>
      <c r="M110" s="2898"/>
      <c r="N110" s="2898"/>
    </row>
    <row r="112" spans="1:14" ht="13.5" thickBot="1"/>
    <row r="113" spans="1:13" ht="25.5" thickBot="1">
      <c r="A113" s="898" t="s">
        <v>2982</v>
      </c>
      <c r="B113" s="1285">
        <f>G3</f>
        <v>1.6</v>
      </c>
      <c r="C113" s="899" t="s">
        <v>2983</v>
      </c>
      <c r="D113" s="900">
        <f>SUMPRODUCT((A115:A118=F113)*(B114:M114=H113)*B115:M118)</f>
        <v>0.83589999999999998</v>
      </c>
      <c r="E113" s="2721" t="s">
        <v>2815</v>
      </c>
      <c r="F113" s="2900" t="str">
        <f>E2</f>
        <v>办公</v>
      </c>
      <c r="G113" s="2721" t="s">
        <v>2816</v>
      </c>
      <c r="H113" s="2900" t="str">
        <f>G2</f>
        <v>五级</v>
      </c>
      <c r="I113" s="2721"/>
      <c r="J113" s="2901"/>
      <c r="K113" s="2901"/>
      <c r="L113" s="2901"/>
      <c r="M113" s="2901"/>
    </row>
    <row r="114" spans="1:13">
      <c r="A114" s="903"/>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4" t="s">
        <v>2880</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2881</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2882</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2883</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J52" sqref="J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3068</v>
      </c>
      <c r="D1" s="1818" t="s">
        <v>70</v>
      </c>
      <c r="E1" s="1819" t="s">
        <v>1387</v>
      </c>
      <c r="F1" s="1281">
        <f ca="1">J53</f>
        <v>43.15</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31442</v>
      </c>
      <c r="C2" s="1843" t="s">
        <v>1516</v>
      </c>
      <c r="D2" s="1843"/>
      <c r="E2" s="1844"/>
      <c r="F2" s="1845"/>
      <c r="G2" s="1846"/>
      <c r="H2" s="1838"/>
      <c r="I2" s="1838"/>
      <c r="J2" s="1838"/>
      <c r="K2" s="1839"/>
      <c r="L2" s="1838"/>
      <c r="M2" s="1838"/>
    </row>
    <row r="3" spans="1:37" ht="18" customHeight="1" thickBot="1">
      <c r="A3" s="1847" t="s">
        <v>1517</v>
      </c>
      <c r="B3" s="1848">
        <f ca="1">IF(ISERROR(B2*10000/F43),0,ROUND(B2*10000/F43,0))</f>
        <v>50874</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1077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1076</v>
      </c>
      <c r="D6" s="163" t="s">
        <v>3033</v>
      </c>
      <c r="E6" s="346" t="s">
        <v>1405</v>
      </c>
      <c r="F6" s="347">
        <f ca="1">INDIRECT("'数据-取费表'!u"&amp;$G$1)</f>
        <v>5.3</v>
      </c>
      <c r="G6" s="1849"/>
      <c r="H6" s="1289" t="s">
        <v>1035</v>
      </c>
      <c r="I6" s="3253" t="s">
        <v>1403</v>
      </c>
      <c r="J6" s="345">
        <f ca="1">ROUND(M6*M8*M7*(1-M9)/10000,0)</f>
        <v>0</v>
      </c>
      <c r="K6" s="163" t="s">
        <v>3032</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6180.34</v>
      </c>
      <c r="G7" s="1849"/>
      <c r="H7" s="348"/>
      <c r="I7" s="3254"/>
      <c r="J7" s="350"/>
      <c r="K7" s="351"/>
      <c r="L7" s="346" t="s">
        <v>1406</v>
      </c>
      <c r="M7" s="347">
        <f ca="1">F7</f>
        <v>6180.34</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0.1</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1</v>
      </c>
      <c r="D10" s="1822" t="s">
        <v>3042</v>
      </c>
      <c r="E10" s="357" t="s">
        <v>1410</v>
      </c>
      <c r="F10" s="1364" t="s">
        <v>3161</v>
      </c>
      <c r="G10" s="1849"/>
      <c r="H10" s="1289" t="s">
        <v>1039</v>
      </c>
      <c r="I10" s="1821" t="s">
        <v>1409</v>
      </c>
      <c r="J10" s="345">
        <f ca="1">ROUND(IF(M10="押一",J6/12*M11,IF(M10="押二",J6/12*2*M11,IF(M10="押三",J6/12*3*M11,J11*M11))),0)</f>
        <v>0</v>
      </c>
      <c r="K10" s="1822" t="s">
        <v>3041</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2884</v>
      </c>
      <c r="D13" s="1329" t="s">
        <v>1415</v>
      </c>
      <c r="E13" s="1329" t="s">
        <v>1416</v>
      </c>
      <c r="F13" s="1330">
        <f ca="1">INDIRECT("'数据-取费表'!y"&amp;$G$1)</f>
        <v>0.95</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1854</v>
      </c>
      <c r="D14" s="1798" t="s">
        <v>1418</v>
      </c>
      <c r="E14" s="1792"/>
      <c r="F14" s="363"/>
      <c r="G14" s="1849"/>
      <c r="H14" s="1199" t="s">
        <v>1035</v>
      </c>
      <c r="I14" s="346" t="s">
        <v>1419</v>
      </c>
      <c r="J14" s="23">
        <f ca="1">C29</f>
        <v>3036</v>
      </c>
      <c r="K14" s="14"/>
      <c r="L14" s="977"/>
      <c r="M14" s="978"/>
    </row>
    <row r="15" spans="1:37" s="1856" customFormat="1" ht="18" customHeight="1" thickBot="1">
      <c r="A15" s="1199" t="s">
        <v>1036</v>
      </c>
      <c r="B15" s="346" t="s">
        <v>1420</v>
      </c>
      <c r="C15" s="23">
        <f ca="1">ROUND(C14*F15,0)</f>
        <v>56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74</v>
      </c>
      <c r="K16" s="1335" t="s">
        <v>1425</v>
      </c>
      <c r="L16" s="1336"/>
      <c r="M16" s="1292"/>
    </row>
    <row r="17" spans="1:37" s="1856" customFormat="1" ht="18" customHeight="1">
      <c r="A17" s="1199" t="s">
        <v>1390</v>
      </c>
      <c r="B17" s="346" t="s">
        <v>1426</v>
      </c>
      <c r="C17" s="23">
        <f ca="1">ROUND(F17*(F43+INDIRECT("'数据-取费表'!S"&amp;$G$1))/10000,0)</f>
        <v>124</v>
      </c>
      <c r="D17" s="346" t="s">
        <v>1427</v>
      </c>
      <c r="E17" s="346" t="s">
        <v>1428</v>
      </c>
      <c r="F17" s="25">
        <f>'数据-取费表'!B35</f>
        <v>200</v>
      </c>
      <c r="G17" s="1852"/>
      <c r="H17" s="1199" t="s">
        <v>1035</v>
      </c>
      <c r="I17" s="346" t="s">
        <v>1429</v>
      </c>
      <c r="J17" s="23">
        <f ca="1">ROUND(IF(项目基本情况!B11="自然人",J5*M17,J18+J19+J20),1)</f>
        <v>28.8</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28</v>
      </c>
      <c r="D18" s="346" t="s">
        <v>1421</v>
      </c>
      <c r="E18" s="346" t="s">
        <v>1422</v>
      </c>
      <c r="F18" s="366">
        <f>'数据-取费表'!B36</f>
        <v>1.4999999999999999E-2</v>
      </c>
      <c r="G18" s="1852"/>
      <c r="H18" s="1199"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2062</v>
      </c>
      <c r="D19" s="139" t="s">
        <v>1436</v>
      </c>
      <c r="E19" s="1816"/>
      <c r="F19" s="25"/>
      <c r="G19" s="1849"/>
      <c r="H19" s="1199" t="s">
        <v>1036</v>
      </c>
      <c r="I19" s="346" t="s">
        <v>1437</v>
      </c>
      <c r="J19" s="23">
        <f ca="1">IF(K19="按租金收入计税",ROUND(J5*M19,2),ROUND(C29*M19*0.7,2))</f>
        <v>25.5</v>
      </c>
      <c r="K19" s="1826" t="s">
        <v>1438</v>
      </c>
      <c r="L19" s="346" t="s">
        <v>1422</v>
      </c>
      <c r="M19" s="366">
        <f>IF(K19="按租金收入计税",'数据-取费表'!B51,'数据-取费表'!B50)</f>
        <v>1.2E-2</v>
      </c>
    </row>
    <row r="20" spans="1:37" s="1856" customFormat="1" ht="18" customHeight="1">
      <c r="A20" s="1199" t="s">
        <v>1039</v>
      </c>
      <c r="B20" s="346" t="s">
        <v>1439</v>
      </c>
      <c r="C20" s="23">
        <f ca="1">ROUND(C19*F20,0)</f>
        <v>62</v>
      </c>
      <c r="D20" s="368" t="s">
        <v>1440</v>
      </c>
      <c r="E20" s="346" t="s">
        <v>1422</v>
      </c>
      <c r="F20" s="366">
        <f>'数据-取费表'!B37</f>
        <v>0.03</v>
      </c>
      <c r="G20" s="1852"/>
      <c r="H20" s="1199" t="s">
        <v>1389</v>
      </c>
      <c r="I20" s="163" t="s">
        <v>1441</v>
      </c>
      <c r="J20" s="24">
        <f ca="1">ROUND(M20*M21/10000,2)</f>
        <v>3.28</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2729.58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ROUND(J14*M22,1)</f>
        <v>45.5</v>
      </c>
      <c r="K22" s="1796"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101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1816"/>
      <c r="F25" s="25"/>
      <c r="G25" s="1849"/>
      <c r="H25" s="1327" t="s">
        <v>1031</v>
      </c>
      <c r="I25" s="1342" t="s">
        <v>1463</v>
      </c>
      <c r="J25" s="354">
        <f ca="1">J5-J16</f>
        <v>-74</v>
      </c>
      <c r="K25" s="1343" t="s">
        <v>1464</v>
      </c>
      <c r="L25" s="1344"/>
      <c r="M25" s="1345"/>
    </row>
    <row r="26" spans="1:37">
      <c r="A26" s="1199" t="s">
        <v>1034</v>
      </c>
      <c r="B26" s="346" t="s">
        <v>1465</v>
      </c>
      <c r="C26" s="23">
        <f ca="1">ROUND((C19+C20)*F26,0)</f>
        <v>531</v>
      </c>
      <c r="D26" s="368" t="s">
        <v>1466</v>
      </c>
      <c r="E26" s="357" t="s">
        <v>1467</v>
      </c>
      <c r="F26" s="356">
        <f ca="1">INDIRECT("'数据-取费表'!q"&amp;$G$1)</f>
        <v>0.25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7.4999999999999997E-3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3036</v>
      </c>
      <c r="D29" s="1340"/>
      <c r="E29" s="1338"/>
      <c r="F29" s="1341"/>
      <c r="G29" s="1852"/>
      <c r="H29" s="379" t="s">
        <v>1033</v>
      </c>
      <c r="I29" s="380" t="s">
        <v>1479</v>
      </c>
      <c r="J29" s="381">
        <f ca="1">ROUND(J26/(1+F40)^F41,0)</f>
        <v>0</v>
      </c>
      <c r="K29" s="382" t="s">
        <v>1480</v>
      </c>
      <c r="L29" s="383"/>
      <c r="M29" s="384">
        <f ca="1">INDIRECT("'数据-取费表'!k"&amp;$G$1)</f>
        <v>6180.34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152</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ROUND(IF(项目基本情况!B11="自然人",C5*F31,C32+C33+C34),1)</f>
        <v>86.2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57.44</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25.5</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3.28</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2729.58</v>
      </c>
      <c r="G35" s="1849"/>
      <c r="H35" s="744"/>
      <c r="I35" s="1858"/>
      <c r="J35" s="1859"/>
      <c r="K35" s="1860"/>
      <c r="L35" s="1857"/>
      <c r="M35" s="1857"/>
    </row>
    <row r="36" spans="1:18" ht="18" customHeight="1">
      <c r="A36" s="1350" t="s">
        <v>1039</v>
      </c>
      <c r="B36" s="346" t="s">
        <v>1449</v>
      </c>
      <c r="C36" s="23">
        <f ca="1">ROUND(C29*F36,1)</f>
        <v>45.5</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4.3</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16.2</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925</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31413</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43.15</v>
      </c>
      <c r="G41" s="1849"/>
      <c r="H41" s="731"/>
      <c r="I41" s="1858"/>
      <c r="J41" s="1859"/>
      <c r="K41" s="750"/>
      <c r="L41" s="731"/>
      <c r="M41" s="731"/>
    </row>
    <row r="42" spans="1:18" ht="18" customHeight="1">
      <c r="A42" s="352"/>
      <c r="B42" s="353"/>
      <c r="C42" s="354"/>
      <c r="D42" s="372"/>
      <c r="E42" s="346" t="s">
        <v>1477</v>
      </c>
      <c r="F42" s="356">
        <f ca="1">INDIRECT("'数据-取费表'!v"&amp;$G$1)</f>
        <v>3.5000000000000003E-2</v>
      </c>
      <c r="G42" s="1849"/>
      <c r="H42" s="731"/>
      <c r="I42" s="1858"/>
      <c r="J42" s="1859"/>
      <c r="K42" s="750"/>
      <c r="L42" s="731"/>
      <c r="M42" s="731"/>
    </row>
    <row r="43" spans="1:18" ht="18" customHeight="1" thickBot="1">
      <c r="A43" s="379" t="s">
        <v>1033</v>
      </c>
      <c r="B43" s="380" t="s">
        <v>1487</v>
      </c>
      <c r="C43" s="381">
        <f ca="1">ROUND(C40*10000/F43,0)</f>
        <v>50827</v>
      </c>
      <c r="D43" s="382" t="s">
        <v>1488</v>
      </c>
      <c r="E43" s="383" t="s">
        <v>1489</v>
      </c>
      <c r="F43" s="384">
        <f ca="1">INDIRECT("'数据-取费表'!k"&amp;$G$1)</f>
        <v>6180.34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-32906</v>
      </c>
      <c r="D46" s="1870" t="str">
        <f>C2</f>
        <v>万元</v>
      </c>
      <c r="E46" s="1864"/>
      <c r="F46" s="1864"/>
      <c r="I46" s="1871" t="s">
        <v>1521</v>
      </c>
      <c r="J46" s="1872"/>
      <c r="K46" s="1873"/>
      <c r="L46" s="1874">
        <f ca="1">IF(M47="住宅",0,IF(L48&gt;J51,L60,J60))</f>
        <v>29</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3139</v>
      </c>
      <c r="K47" s="1880" t="s">
        <v>1527</v>
      </c>
      <c r="L47" s="1881">
        <f ca="1">INDIRECT("'数据-取费表'!d"&amp;$G$1)</f>
        <v>50</v>
      </c>
      <c r="M47" s="1836" t="str">
        <f>IF(ISNUMBER(FIND("住宅",C1)),"住宅","非住宅")</f>
        <v>非住宅</v>
      </c>
      <c r="O47" s="1882" t="s">
        <v>1040</v>
      </c>
      <c r="P47" s="1883" t="s">
        <v>1528</v>
      </c>
      <c r="Q47" s="1884">
        <f ca="1">C40+J29</f>
        <v>31413</v>
      </c>
      <c r="R47" s="1884" t="s">
        <v>1529</v>
      </c>
    </row>
    <row r="48" spans="1:18" s="1840" customFormat="1" ht="28.5" thickBot="1">
      <c r="A48" s="1358" t="s">
        <v>1135</v>
      </c>
      <c r="B48" s="344" t="s">
        <v>1401</v>
      </c>
      <c r="C48" s="1815">
        <f ca="1">C49+C53+C55</f>
        <v>0</v>
      </c>
      <c r="D48" s="1360"/>
      <c r="E48" s="1361"/>
      <c r="F48" s="1179"/>
      <c r="G48" s="791"/>
      <c r="H48" s="792"/>
      <c r="I48" s="1885" t="s">
        <v>1530</v>
      </c>
      <c r="J48" s="1886" t="s">
        <v>3172</v>
      </c>
      <c r="K48" s="1887" t="s">
        <v>1531</v>
      </c>
      <c r="L48" s="1888">
        <f ca="1">INDIRECT("'数据-取费表'!f"&amp;$G$1)</f>
        <v>43.15</v>
      </c>
      <c r="O48" s="1882" t="s">
        <v>1041</v>
      </c>
      <c r="P48" s="1883" t="s">
        <v>1532</v>
      </c>
      <c r="Q48" s="1884">
        <f ca="1">J60</f>
        <v>29</v>
      </c>
      <c r="R48" s="1884" t="s">
        <v>1533</v>
      </c>
    </row>
    <row r="49" spans="1:18" s="1840" customFormat="1" ht="13.5" thickBot="1">
      <c r="A49" s="1192" t="s">
        <v>1136</v>
      </c>
      <c r="B49" s="1827" t="s">
        <v>1490</v>
      </c>
      <c r="C49" s="1362">
        <f ca="1">ROUND(F49*F51*F50*(1-F52)/10000,0)</f>
        <v>0</v>
      </c>
      <c r="D49" s="1274" t="s">
        <v>3034</v>
      </c>
      <c r="E49" s="1828" t="s">
        <v>1491</v>
      </c>
      <c r="F49" s="1279"/>
      <c r="G49" s="1889"/>
      <c r="H49" s="792"/>
      <c r="I49" s="1885" t="s">
        <v>1534</v>
      </c>
      <c r="J49" s="1890">
        <v>2014</v>
      </c>
      <c r="K49" s="1887" t="s">
        <v>1535</v>
      </c>
      <c r="L49" s="1891"/>
      <c r="O49" s="1892" t="s">
        <v>1042</v>
      </c>
      <c r="P49" s="1883" t="s">
        <v>1536</v>
      </c>
      <c r="Q49" s="1884">
        <f ca="1">C29</f>
        <v>3036</v>
      </c>
      <c r="R49" s="1884" t="s">
        <v>1529</v>
      </c>
    </row>
    <row r="50" spans="1:18" s="1840" customFormat="1" ht="13.5" thickBot="1">
      <c r="A50" s="1193"/>
      <c r="B50" s="1196"/>
      <c r="C50" s="1366"/>
      <c r="D50" s="1170"/>
      <c r="E50" s="1275" t="s">
        <v>1406</v>
      </c>
      <c r="F50" s="1276">
        <f ca="1">F7</f>
        <v>6180.34</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56</v>
      </c>
      <c r="K51" s="1898" t="s">
        <v>1541</v>
      </c>
      <c r="L51" s="1899">
        <f ca="1">ROUND(-PV(INDIRECT("'数据-取费表'!h"&amp;$G$1),L48,(C39-C13*C76),0),0)</f>
        <v>13868</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43.15</v>
      </c>
      <c r="R52" s="1884" t="s">
        <v>1546</v>
      </c>
    </row>
    <row r="53" spans="1:18" s="1840" customFormat="1" ht="24.75" thickBot="1">
      <c r="A53" s="1403" t="s">
        <v>1137</v>
      </c>
      <c r="B53" s="1829" t="s">
        <v>1409</v>
      </c>
      <c r="C53" s="360">
        <f ca="1">ROUND(IF(F53="押一",C49/12*F11,IF(F53="押二",C49/12*2*F11,IF(F53="押三",C49/12*3*F11,C54*F11))),0)</f>
        <v>0</v>
      </c>
      <c r="D53" s="1822" t="s">
        <v>3041</v>
      </c>
      <c r="E53" s="357" t="s">
        <v>1410</v>
      </c>
      <c r="F53" s="1364"/>
      <c r="I53" s="1903" t="s">
        <v>1547</v>
      </c>
      <c r="J53" s="1904">
        <f ca="1">IF(M47="住宅",J51,IF(D1="——",MIN(J51,L48),IF(D1="在建（套用方法）",MIN(J51,L48-'数据-取费表'!B24),IF(D1="土地（套用方法）",MIN(J51,L48-'数据-取费表'!B20)))))</f>
        <v>43.15</v>
      </c>
      <c r="K53" s="3256" t="s">
        <v>1548</v>
      </c>
      <c r="L53" s="3257"/>
      <c r="O53" s="1882" t="s">
        <v>1046</v>
      </c>
      <c r="P53" s="1883" t="s">
        <v>1549</v>
      </c>
      <c r="Q53" s="1884">
        <f ca="1">Q47+Q48</f>
        <v>31442</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f ca="1">ROUND(IF(J47="钢混",J57/J50,1-(1-2%)*(J50-J57)/J50),3)</f>
        <v>0.214</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2884</v>
      </c>
      <c r="D56" s="1912"/>
      <c r="E56" s="1913"/>
      <c r="F56" s="1905"/>
      <c r="I56" s="1914" t="s">
        <v>1554</v>
      </c>
      <c r="J56" s="1915" t="s">
        <v>3058</v>
      </c>
      <c r="K56" s="1885" t="s">
        <v>1555</v>
      </c>
      <c r="L56" s="1888" t="str">
        <f ca="1">IF(L48&lt;J51,"——",L48-J53)</f>
        <v>——</v>
      </c>
      <c r="O56" s="1882" t="s">
        <v>1040</v>
      </c>
      <c r="P56" s="1883" t="s">
        <v>1528</v>
      </c>
      <c r="Q56" s="1884">
        <f ca="1">C40+J29</f>
        <v>31413</v>
      </c>
      <c r="R56" s="1884" t="s">
        <v>1529</v>
      </c>
    </row>
    <row r="57" spans="1:18" s="1840" customFormat="1" ht="24.75" thickBot="1">
      <c r="A57" s="1916"/>
      <c r="B57" s="1167" t="s">
        <v>1478</v>
      </c>
      <c r="C57" s="281">
        <f ca="1">C29</f>
        <v>3036</v>
      </c>
      <c r="D57" s="1917"/>
      <c r="E57" s="1918"/>
      <c r="F57" s="1919"/>
      <c r="I57" s="1920" t="s">
        <v>1556</v>
      </c>
      <c r="J57" s="1921">
        <f ca="1">IF(OR(M47="住宅",J51&lt;L48,J56="是"),"——",J51-L48)</f>
        <v>12.850000000000001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79</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28.8</v>
      </c>
      <c r="D59" s="1180" t="s">
        <v>1430</v>
      </c>
      <c r="E59" s="1181" t="s">
        <v>1431</v>
      </c>
      <c r="F59" s="367" t="str">
        <f ca="1">IF(项目基本情况!B11="企业","",IF(INDIRECT("'数据-取费表'!c"&amp;$G$1)="住宅",5%,IF(F49*F50*F51/12/(1+'数据-取费表'!C42)&gt;20000,12%,7%)))</f>
        <v/>
      </c>
      <c r="I59" s="1920" t="s">
        <v>1563</v>
      </c>
      <c r="J59" s="1921">
        <f ca="1">IF(OR(M47="住宅",J51&lt;L48,J56="是"),"——",ROUND(C29*J58,0))</f>
        <v>1214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29</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25.5</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3.28</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31413</v>
      </c>
      <c r="R62" s="1884" t="s">
        <v>1047</v>
      </c>
    </row>
    <row r="63" spans="1:18" s="1840" customFormat="1" ht="13.5" thickBot="1">
      <c r="A63" s="371"/>
      <c r="B63" s="1173"/>
      <c r="C63" s="28"/>
      <c r="D63" s="1183"/>
      <c r="E63" s="1167" t="s">
        <v>1499</v>
      </c>
      <c r="F63" s="347">
        <f t="shared" ca="1" si="0"/>
        <v>2729.58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45.5</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4.3</v>
      </c>
      <c r="D65" s="1181" t="s">
        <v>1454</v>
      </c>
      <c r="E65" s="1167" t="s">
        <v>1455</v>
      </c>
      <c r="F65" s="375">
        <f t="shared" ca="1" si="0"/>
        <v>1.5E-3</v>
      </c>
      <c r="I65" s="1927" t="s">
        <v>1579</v>
      </c>
      <c r="J65" s="1928">
        <v>40</v>
      </c>
      <c r="K65" s="1928">
        <v>30</v>
      </c>
      <c r="L65" s="1928">
        <v>50</v>
      </c>
      <c r="M65" s="1930">
        <v>0.02</v>
      </c>
      <c r="O65" s="1882" t="s">
        <v>1040</v>
      </c>
      <c r="P65" s="1883" t="s">
        <v>1580</v>
      </c>
      <c r="Q65" s="1884">
        <f ca="1">C40+J29</f>
        <v>31413</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-79</v>
      </c>
      <c r="D67" s="1180" t="s">
        <v>1464</v>
      </c>
      <c r="E67" s="1185"/>
      <c r="F67" s="1186"/>
      <c r="O67" s="1892" t="s">
        <v>1042</v>
      </c>
      <c r="P67" s="1883" t="s">
        <v>1562</v>
      </c>
      <c r="Q67" s="1931">
        <f ca="1">L51</f>
        <v>13868</v>
      </c>
      <c r="R67" s="1884" t="s">
        <v>1582</v>
      </c>
    </row>
    <row r="68" spans="1:18" s="1840" customFormat="1" ht="16.5" thickBot="1">
      <c r="A68" s="1164" t="s">
        <v>1032</v>
      </c>
      <c r="B68" s="1165" t="s">
        <v>1485</v>
      </c>
      <c r="C68" s="345">
        <f ca="1">ROUND(C67*(1-((1+F70)/(1+F68))^F69)/(F68-F70),0)</f>
        <v>-1493</v>
      </c>
      <c r="D68" s="1182" t="s">
        <v>1469</v>
      </c>
      <c r="E68" s="1167" t="s">
        <v>1470</v>
      </c>
      <c r="F68" s="356">
        <f ca="1">F40</f>
        <v>4.4999999999999998E-2</v>
      </c>
      <c r="O68" s="1892" t="s">
        <v>1043</v>
      </c>
      <c r="P68" s="1932" t="s">
        <v>1583</v>
      </c>
      <c r="Q68" s="1884">
        <f ca="1">ROUND(Q69-Q70*Q71,0)</f>
        <v>680</v>
      </c>
      <c r="R68" s="1884" t="s">
        <v>1051</v>
      </c>
    </row>
    <row r="69" spans="1:18" s="1840" customFormat="1" ht="13.5" thickBot="1">
      <c r="A69" s="1168"/>
      <c r="B69" s="1169"/>
      <c r="C69" s="350"/>
      <c r="D69" s="1187" t="s">
        <v>1473</v>
      </c>
      <c r="E69" s="1167" t="s">
        <v>1474</v>
      </c>
      <c r="F69" s="378">
        <f ca="1">F41</f>
        <v>43.15</v>
      </c>
      <c r="O69" s="1892" t="s">
        <v>1048</v>
      </c>
      <c r="P69" s="1932" t="s">
        <v>1584</v>
      </c>
      <c r="Q69" s="1884">
        <f ca="1">C39</f>
        <v>925</v>
      </c>
      <c r="R69" s="1884" t="s">
        <v>1529</v>
      </c>
    </row>
    <row r="70" spans="1:18" s="1840" customFormat="1" ht="13.5" thickBot="1">
      <c r="A70" s="1171"/>
      <c r="B70" s="1172"/>
      <c r="C70" s="354"/>
      <c r="D70" s="1183"/>
      <c r="E70" s="1167" t="s">
        <v>1477</v>
      </c>
      <c r="F70" s="1273"/>
      <c r="O70" s="1892" t="s">
        <v>1049</v>
      </c>
      <c r="P70" s="1932" t="s">
        <v>1585</v>
      </c>
      <c r="Q70" s="1884">
        <f ca="1">C13</f>
        <v>2884</v>
      </c>
      <c r="R70" s="1884" t="s">
        <v>1529</v>
      </c>
    </row>
    <row r="71" spans="1:18" s="1840" customFormat="1" ht="13.5" thickBot="1">
      <c r="A71" s="1188" t="s">
        <v>1033</v>
      </c>
      <c r="B71" s="1189" t="s">
        <v>1487</v>
      </c>
      <c r="C71" s="381">
        <f ca="1">ROUND(C68*10000/F71,0)</f>
        <v>-2416</v>
      </c>
      <c r="D71" s="1190" t="s">
        <v>1488</v>
      </c>
      <c r="E71" s="1191" t="s">
        <v>1489</v>
      </c>
      <c r="F71" s="384">
        <f ca="1">F43</f>
        <v>6180.34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245</v>
      </c>
      <c r="D75" s="1840"/>
      <c r="E75" s="1840"/>
      <c r="F75" s="1840"/>
      <c r="K75" s="1866"/>
      <c r="L75" s="1840"/>
      <c r="O75" s="1882" t="s">
        <v>1046</v>
      </c>
      <c r="P75" s="1883" t="s">
        <v>1549</v>
      </c>
      <c r="Q75" s="1884">
        <f ca="1">Q65+Q66</f>
        <v>31413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0.73499999999999999</v>
      </c>
    </row>
    <row r="80" spans="1:18">
      <c r="B80" s="385" t="s">
        <v>1511</v>
      </c>
      <c r="C80" s="317">
        <f ca="1">ROUND(C75/C39,3)</f>
        <v>0.26500000000000001</v>
      </c>
    </row>
    <row r="81" spans="2:3">
      <c r="B81" s="313" t="s">
        <v>1512</v>
      </c>
      <c r="C81" s="281"/>
    </row>
    <row r="82" spans="2:3">
      <c r="B82" s="316" t="s">
        <v>1513</v>
      </c>
      <c r="C82" s="318">
        <f ca="1">1-C83</f>
        <v>0.90800000000000003</v>
      </c>
    </row>
    <row r="83" spans="2:3">
      <c r="B83" s="316" t="s">
        <v>1514</v>
      </c>
      <c r="C83" s="317">
        <f ca="1">ROUND(C13/C40,3)</f>
        <v>9.1999999999999998E-2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2118</v>
      </c>
      <c r="B1" s="2414"/>
      <c r="C1" s="2415" t="s">
        <v>3069</v>
      </c>
      <c r="D1" s="2414"/>
      <c r="E1" s="2414"/>
      <c r="F1" s="2416" t="s">
        <v>2119</v>
      </c>
      <c r="G1" s="2067" t="s">
        <v>3059</v>
      </c>
      <c r="H1" s="2417" t="str">
        <f>IF(G1="现房","——","估价对象范围")</f>
        <v>——</v>
      </c>
      <c r="I1" s="2418" t="s">
        <v>3173</v>
      </c>
    </row>
    <row r="2" spans="1:12" ht="21.75" customHeight="1" thickBot="1">
      <c r="A2" s="3199" t="str">
        <f>项目基本情况!S2</f>
        <v>北京市房地产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1" t="s">
        <v>2121</v>
      </c>
      <c r="B4" s="2422" t="s">
        <v>2122</v>
      </c>
      <c r="C4" s="2423" t="s">
        <v>3170</v>
      </c>
      <c r="D4" s="2423" t="s">
        <v>3166</v>
      </c>
      <c r="E4" s="3163" t="s">
        <v>2123</v>
      </c>
      <c r="F4" s="3165"/>
      <c r="G4" s="3165"/>
      <c r="H4" s="3165"/>
      <c r="I4" s="3164"/>
      <c r="K4" s="2424" t="str">
        <f>IF(ISNUMBER(FIND("比较法",结果表车库!C4)),"比较法",IF(ISNUMBER(FIND("成本法",结果表车库!C4)),"成本法",IF(ISNUMBER(FIND("假设开发法",结果表车库!C4)),"假设开发法",IF(ISNUMBER(FIND("收益法",结果表车库!C4)),"收益法","基准地价系数修正法"))))</f>
        <v>成本法</v>
      </c>
      <c r="L4" s="242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94" t="s">
        <v>2124</v>
      </c>
      <c r="B5" s="3062">
        <v>25</v>
      </c>
      <c r="C5" s="3195"/>
      <c r="D5" s="3197"/>
      <c r="E5" s="139" t="s">
        <v>2125</v>
      </c>
      <c r="F5" s="2425"/>
      <c r="G5" s="2425"/>
      <c r="H5" s="2425"/>
      <c r="I5" s="1829"/>
    </row>
    <row r="6" spans="1:12" ht="12.75">
      <c r="A6" s="3194"/>
      <c r="B6" s="3062"/>
      <c r="C6" s="3198"/>
      <c r="D6" s="3197"/>
      <c r="E6" s="139" t="s">
        <v>2126</v>
      </c>
      <c r="F6" s="2425"/>
      <c r="G6" s="2425"/>
      <c r="H6" s="2425"/>
      <c r="I6" s="1829"/>
    </row>
    <row r="7" spans="1:12" ht="12.75">
      <c r="A7" s="3194"/>
      <c r="B7" s="3062"/>
      <c r="C7" s="3196"/>
      <c r="D7" s="3197"/>
      <c r="E7" s="139" t="s">
        <v>2127</v>
      </c>
      <c r="F7" s="2425"/>
      <c r="G7" s="2425"/>
      <c r="H7" s="2425"/>
      <c r="I7" s="1829"/>
    </row>
    <row r="8" spans="1:12" ht="12.75">
      <c r="A8" s="3194" t="s">
        <v>2128</v>
      </c>
      <c r="B8" s="3062">
        <v>15</v>
      </c>
      <c r="C8" s="3195"/>
      <c r="D8" s="3197"/>
      <c r="E8" s="139" t="s">
        <v>2129</v>
      </c>
      <c r="F8" s="2425"/>
      <c r="G8" s="2425"/>
      <c r="H8" s="2425"/>
      <c r="I8" s="1829"/>
    </row>
    <row r="9" spans="1:12" ht="12.75">
      <c r="A9" s="3194"/>
      <c r="B9" s="3062"/>
      <c r="C9" s="3196"/>
      <c r="D9" s="3197"/>
      <c r="E9" s="139" t="s">
        <v>2130</v>
      </c>
      <c r="F9" s="2425"/>
      <c r="G9" s="2425"/>
      <c r="H9" s="2425"/>
      <c r="I9" s="1829"/>
    </row>
    <row r="10" spans="1:12" ht="12.75">
      <c r="A10" s="3194" t="s">
        <v>2131</v>
      </c>
      <c r="B10" s="3062">
        <v>15</v>
      </c>
      <c r="C10" s="3195"/>
      <c r="D10" s="3197"/>
      <c r="E10" s="139" t="s">
        <v>2132</v>
      </c>
      <c r="F10" s="2425"/>
      <c r="G10" s="2425"/>
      <c r="H10" s="2425"/>
      <c r="I10" s="1829"/>
    </row>
    <row r="11" spans="1:12" ht="12.75">
      <c r="A11" s="3194"/>
      <c r="B11" s="3062"/>
      <c r="C11" s="3196"/>
      <c r="D11" s="3197"/>
      <c r="E11" s="139" t="s">
        <v>2133</v>
      </c>
      <c r="F11" s="2425"/>
      <c r="G11" s="2425"/>
      <c r="H11" s="2425"/>
      <c r="I11" s="1829"/>
    </row>
    <row r="12" spans="1:12" ht="12.75">
      <c r="A12" s="3194" t="s">
        <v>2134</v>
      </c>
      <c r="B12" s="3062">
        <v>15</v>
      </c>
      <c r="C12" s="3195"/>
      <c r="D12" s="3197"/>
      <c r="E12" s="139" t="s">
        <v>2135</v>
      </c>
      <c r="F12" s="2425"/>
      <c r="G12" s="2425"/>
      <c r="H12" s="2425"/>
      <c r="I12" s="1829"/>
    </row>
    <row r="13" spans="1:12" ht="12.75">
      <c r="A13" s="3194"/>
      <c r="B13" s="3062"/>
      <c r="C13" s="3196"/>
      <c r="D13" s="3197"/>
      <c r="E13" s="139" t="s">
        <v>2136</v>
      </c>
      <c r="F13" s="2425"/>
      <c r="G13" s="2425"/>
      <c r="H13" s="2425"/>
      <c r="I13" s="1829"/>
    </row>
    <row r="14" spans="1:12" ht="12.75">
      <c r="A14" s="3194" t="s">
        <v>2137</v>
      </c>
      <c r="B14" s="3062">
        <v>30</v>
      </c>
      <c r="C14" s="3195">
        <v>0.5</v>
      </c>
      <c r="D14" s="3197">
        <f>1-C14</f>
        <v>0.5</v>
      </c>
      <c r="E14" s="139" t="s">
        <v>2138</v>
      </c>
      <c r="F14" s="2425"/>
      <c r="G14" s="2425"/>
      <c r="H14" s="2425"/>
      <c r="I14" s="1829"/>
    </row>
    <row r="15" spans="1:12" ht="12.75">
      <c r="A15" s="3194"/>
      <c r="B15" s="3062"/>
      <c r="C15" s="3198"/>
      <c r="D15" s="3197"/>
      <c r="E15" s="139" t="s">
        <v>2139</v>
      </c>
      <c r="F15" s="2425"/>
      <c r="G15" s="2425"/>
      <c r="H15" s="2425"/>
      <c r="I15" s="1829"/>
    </row>
    <row r="16" spans="1:12" ht="12.75">
      <c r="A16" s="3194"/>
      <c r="B16" s="3062"/>
      <c r="C16" s="3196"/>
      <c r="D16" s="3197"/>
      <c r="E16" s="139" t="s">
        <v>2140</v>
      </c>
      <c r="F16" s="2425"/>
      <c r="G16" s="2425"/>
      <c r="H16" s="2425"/>
      <c r="I16" s="1829"/>
    </row>
    <row r="17" spans="1:35" ht="15">
      <c r="A17" s="2426" t="s">
        <v>2141</v>
      </c>
      <c r="B17" s="63"/>
      <c r="C17" s="140">
        <f>SUM(C5:C16)</f>
        <v>0.5</v>
      </c>
      <c r="D17" s="140">
        <f>SUM(D5:D16)</f>
        <v>0.5</v>
      </c>
      <c r="E17" s="137"/>
      <c r="F17" s="137"/>
      <c r="G17" s="137"/>
      <c r="H17" s="137"/>
      <c r="I17" s="137"/>
      <c r="K17" s="2424"/>
      <c r="L17" s="2427" t="s">
        <v>2142</v>
      </c>
      <c r="M17" s="2427" t="s">
        <v>2143</v>
      </c>
    </row>
    <row r="18" spans="1:35" ht="15.75" thickBot="1">
      <c r="A18" s="2428" t="s">
        <v>2144</v>
      </c>
      <c r="B18" s="2429"/>
      <c r="C18" s="141">
        <f>ROUND(C17/SUM(C17:D17),2)</f>
        <v>0.5</v>
      </c>
      <c r="D18" s="141">
        <f>1-C18</f>
        <v>0.5</v>
      </c>
      <c r="E18" s="137"/>
      <c r="F18" s="137"/>
      <c r="G18" s="137"/>
      <c r="H18" s="137"/>
      <c r="I18" s="137"/>
      <c r="K18" s="2424" t="s">
        <v>2145</v>
      </c>
      <c r="L18" s="2424">
        <f>IF(C1="",'数据-汇总表'!E3,SUMIF(项目类型,C1,'数据-汇总表'!E17:E26)+SUMIF(项目类型,C1,'数据-汇总表'!I17:I26))</f>
        <v>3774.75</v>
      </c>
      <c r="M18" s="2424">
        <f>IF(C1="",'数据-汇总表'!E3,SUMIF(项目类型,C1,'数据-汇总表'!E17:E26))</f>
        <v>3774.75</v>
      </c>
    </row>
    <row r="19" spans="1:35" ht="15">
      <c r="A19" s="2430" t="s">
        <v>2146</v>
      </c>
      <c r="B19" s="2431" t="s">
        <v>2147</v>
      </c>
      <c r="C19" s="142">
        <f ca="1">SUMIF(INDIRECT("'"&amp;C4&amp;"'"&amp;"!A:A"),结果表车库!B19,INDIRECT("'"&amp;C4&amp;"'"&amp;"!B:B"))</f>
        <v>3231</v>
      </c>
      <c r="D19" s="143">
        <f ca="1">SUMIF(INDIRECT("'"&amp;D4&amp;"'"&amp;"!A:A"),结果表车库!B19,INDIRECT("'"&amp;D4&amp;"'"&amp;"!B:B"))</f>
        <v>3387</v>
      </c>
      <c r="E19" s="2430" t="s">
        <v>2148</v>
      </c>
      <c r="F19" s="2431" t="s">
        <v>2147</v>
      </c>
      <c r="G19" s="144">
        <f ca="1">ROUND(C19*$C$18+D19*$D$18,0)</f>
        <v>3309</v>
      </c>
      <c r="H19" s="2432" t="s">
        <v>2149</v>
      </c>
      <c r="I19" s="137"/>
      <c r="K19" s="2424" t="s">
        <v>2150</v>
      </c>
      <c r="L19" s="2424">
        <f>IF(C1="",'数据-汇总表'!D3,SUMIF(项目类型,C1,'数据-汇总表'!D17:D26)+SUMIF(项目类型,C1,'数据-汇总表'!H17:H27))</f>
        <v>1667.14</v>
      </c>
      <c r="M19" s="2424">
        <f>IF(C1="",'数据-汇总表'!D3,SUMIF(项目类型,C1,'数据-汇总表'!D17:D26))</f>
        <v>1667.14</v>
      </c>
    </row>
    <row r="20" spans="1:35" ht="15">
      <c r="A20" s="2433"/>
      <c r="B20" s="1245" t="s">
        <v>2151</v>
      </c>
      <c r="C20" s="145">
        <f ca="1">SUMIF(INDIRECT("'"&amp;C4&amp;"'"&amp;"!A:A"),结果表车库!B20,INDIRECT("'"&amp;C4&amp;"'"&amp;"!B:B"))</f>
        <v>8560</v>
      </c>
      <c r="D20" s="146">
        <f ca="1">SUMIF(INDIRECT("'"&amp;D4&amp;"'"&amp;"!A:A"),结果表车库!B20,INDIRECT("'"&amp;D4&amp;"'"&amp;"!B:B"))</f>
        <v>8973</v>
      </c>
      <c r="E20" s="2433"/>
      <c r="F20" s="1245" t="s">
        <v>2151</v>
      </c>
      <c r="G20" s="147">
        <f ca="1">ROUND(C20*$C$18+D20*$D$18,0)</f>
        <v>8767</v>
      </c>
      <c r="H20" s="978" t="s">
        <v>2152</v>
      </c>
      <c r="I20" s="137"/>
    </row>
    <row r="21" spans="1:35" ht="15" customHeight="1" thickBot="1">
      <c r="A21" s="998"/>
      <c r="B21" s="2434" t="s">
        <v>2153</v>
      </c>
      <c r="C21" s="788">
        <f ca="1">ROUND(C19*10000/L19,0)</f>
        <v>19380</v>
      </c>
      <c r="D21" s="789">
        <f ca="1">ROUND(D19*10000/L19,0)</f>
        <v>20316</v>
      </c>
      <c r="E21" s="998"/>
      <c r="F21" s="2434" t="s">
        <v>2153</v>
      </c>
      <c r="G21" s="148">
        <f ca="1">ROUND(G19*10000/L19,0)</f>
        <v>19848</v>
      </c>
      <c r="H21" s="2435" t="s">
        <v>2152</v>
      </c>
      <c r="I21" s="137"/>
    </row>
    <row r="22" spans="1:35" ht="15" thickBot="1">
      <c r="A22" s="2277" t="s">
        <v>2154</v>
      </c>
      <c r="B22" s="2436"/>
      <c r="C22" s="2437"/>
      <c r="D22" s="790">
        <f ca="1">IF(C19&lt;D19,D19/C19-1,C19/D19-1)</f>
        <v>4.8282265552460624E-2</v>
      </c>
      <c r="E22" s="137"/>
      <c r="F22" s="137"/>
      <c r="G22" s="137"/>
      <c r="H22" s="137"/>
      <c r="I22" s="137"/>
    </row>
    <row r="23" spans="1:35" ht="13.5" thickBot="1">
      <c r="A23" s="2414"/>
      <c r="B23" s="2414"/>
      <c r="C23" s="2414"/>
      <c r="D23" s="2414"/>
      <c r="E23" s="137"/>
      <c r="F23" s="137"/>
      <c r="G23" s="137"/>
      <c r="H23" s="137"/>
      <c r="I23" s="137"/>
    </row>
    <row r="24" spans="1:35" ht="14.25">
      <c r="A24" s="3182" t="s">
        <v>2155</v>
      </c>
      <c r="B24" s="2431" t="s">
        <v>2147</v>
      </c>
      <c r="C24" s="144">
        <f>IF(B30=0,0,D30)</f>
        <v>0</v>
      </c>
      <c r="D24" s="2438"/>
      <c r="E24" s="137"/>
      <c r="F24" s="137"/>
      <c r="G24" s="137"/>
      <c r="H24" s="137"/>
      <c r="I24" s="137"/>
    </row>
    <row r="25" spans="1:35" ht="14.25">
      <c r="A25" s="3183"/>
      <c r="B25" s="1245"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22" t="s">
        <v>3037</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3309</v>
      </c>
      <c r="D32" s="2445" t="s">
        <v>2162</v>
      </c>
      <c r="E32" s="137"/>
      <c r="F32" s="137"/>
      <c r="G32" s="137"/>
      <c r="H32" s="137"/>
      <c r="I32" s="137"/>
    </row>
    <row r="33" spans="1:15" ht="15">
      <c r="A33" s="955" t="s">
        <v>2163</v>
      </c>
      <c r="B33" s="2446"/>
      <c r="C33" s="2447"/>
      <c r="D33" s="2448"/>
      <c r="E33" s="2449" t="s">
        <v>2164</v>
      </c>
      <c r="F33" s="2940" t="str">
        <f>IF(D32="楼面单价","取值（单价）","取值（总价）")</f>
        <v>取值（总价）</v>
      </c>
      <c r="G33" s="137"/>
      <c r="H33" s="137"/>
      <c r="I33" s="137"/>
    </row>
    <row r="34" spans="1:15" ht="15">
      <c r="A34" s="2451"/>
      <c r="B34" s="2452" t="s">
        <v>2165</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2166</v>
      </c>
      <c r="F34" s="1734"/>
      <c r="G34" s="137"/>
      <c r="H34" s="137"/>
      <c r="I34" s="137"/>
    </row>
    <row r="35" spans="1:15" ht="15.75" thickBot="1">
      <c r="A35" s="2454"/>
      <c r="B35" s="2455"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2168</v>
      </c>
      <c r="F35" s="162"/>
      <c r="G35" s="137"/>
      <c r="H35" s="137"/>
      <c r="I35" s="137"/>
    </row>
    <row r="36" spans="1:15" ht="15.75" thickBot="1">
      <c r="A36" s="3184" t="s">
        <v>2169</v>
      </c>
      <c r="B36" s="2457" t="s">
        <v>2170</v>
      </c>
      <c r="C36" s="153"/>
      <c r="D36" s="2458"/>
      <c r="E36" s="2459"/>
      <c r="F36" s="2460"/>
      <c r="G36" s="137"/>
      <c r="H36" s="137"/>
      <c r="I36" s="137"/>
    </row>
    <row r="37" spans="1:15" ht="15.75" thickBot="1">
      <c r="A37" s="3185"/>
      <c r="B37" s="2263" t="s">
        <v>2171</v>
      </c>
      <c r="C37" s="155"/>
      <c r="D37" s="1390"/>
      <c r="E37" s="1390"/>
      <c r="F37" s="2460"/>
      <c r="G37" s="137"/>
      <c r="H37" s="137"/>
      <c r="I37" s="137"/>
    </row>
    <row r="38" spans="1:15" ht="15.75" thickBot="1">
      <c r="A38" s="3186"/>
      <c r="B38" s="2461" t="s">
        <v>2172</v>
      </c>
      <c r="C38" s="726"/>
      <c r="D38" s="2462" t="s">
        <v>2173</v>
      </c>
      <c r="E38" s="1390"/>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2"/>
      <c r="B43" s="2162"/>
      <c r="C43" s="2162"/>
      <c r="D43" s="2162"/>
      <c r="E43" s="2162"/>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87" t="s">
        <v>2183</v>
      </c>
      <c r="B45" s="3188"/>
      <c r="C45" s="3189"/>
      <c r="D45" s="163">
        <f ca="1">ROUND(H101*F45,0)</f>
        <v>3309</v>
      </c>
      <c r="E45" s="164" t="s">
        <v>2184</v>
      </c>
      <c r="F45" s="165">
        <v>1</v>
      </c>
      <c r="G45" s="166" t="s">
        <v>2185</v>
      </c>
      <c r="H45" s="137"/>
      <c r="I45" s="137"/>
      <c r="J45" s="3175" t="s">
        <v>2186</v>
      </c>
      <c r="K45" s="3175"/>
      <c r="L45" s="3175"/>
      <c r="M45" s="3175"/>
      <c r="N45" s="3175"/>
      <c r="O45" s="3175"/>
    </row>
    <row r="46" spans="1:15" ht="14.25" customHeight="1">
      <c r="A46" s="3190" t="s">
        <v>2187</v>
      </c>
      <c r="B46" s="3191"/>
      <c r="C46" s="3191"/>
      <c r="D46" s="3191"/>
      <c r="E46" s="3191"/>
      <c r="F46" s="3191"/>
      <c r="G46" s="3192"/>
      <c r="H46" s="2476"/>
      <c r="I46" s="167"/>
      <c r="J46" s="2954">
        <v>1</v>
      </c>
      <c r="K46" s="3175" t="s">
        <v>2188</v>
      </c>
      <c r="L46" s="3175"/>
      <c r="M46" s="3193"/>
      <c r="N46" s="3193"/>
      <c r="O46" s="3193"/>
    </row>
    <row r="47" spans="1:15" ht="12" customHeight="1">
      <c r="A47" s="168" t="s">
        <v>2189</v>
      </c>
      <c r="B47" s="169"/>
      <c r="C47" s="170"/>
      <c r="D47" s="171" t="s">
        <v>2190</v>
      </c>
      <c r="E47" s="23" t="s">
        <v>2191</v>
      </c>
      <c r="F47" s="172" t="s">
        <v>2192</v>
      </c>
      <c r="G47" s="173" t="s">
        <v>2193</v>
      </c>
      <c r="H47" s="2476"/>
      <c r="I47" s="167"/>
      <c r="J47" s="2954">
        <v>2</v>
      </c>
      <c r="K47" s="3175" t="s">
        <v>2194</v>
      </c>
      <c r="L47" s="3175"/>
      <c r="M47" s="3176">
        <f>'数据-取费表'!B2</f>
        <v>43236</v>
      </c>
      <c r="N47" s="3176"/>
      <c r="O47" s="3176"/>
    </row>
    <row r="48" spans="1:15" ht="25.5">
      <c r="A48" s="3177" t="s">
        <v>2195</v>
      </c>
      <c r="B48" s="3172"/>
      <c r="C48" s="3172"/>
      <c r="D48" s="139">
        <f>IF(H48="情况1",0,IF(H48="情况2",D52,IF(H48="情况3",D53,IF(H48="情况4",D54))))</f>
        <v>0</v>
      </c>
      <c r="E48" s="2945" t="str">
        <f>IF(H48="情况4","(销售额-原购置价)×税（费）率","销售额×税（费）率")</f>
        <v>销售额×税（费）率</v>
      </c>
      <c r="F48" s="174" t="str">
        <f>IF(H48="情况1","免征",'数据-取费表'!B41)</f>
        <v>免征</v>
      </c>
      <c r="G48" s="2477" t="s">
        <v>2196</v>
      </c>
      <c r="H48" s="2478" t="s">
        <v>2197</v>
      </c>
      <c r="I48" s="2476"/>
      <c r="J48" s="2954">
        <v>3</v>
      </c>
      <c r="K48" s="3175" t="s">
        <v>2198</v>
      </c>
      <c r="L48" s="3175"/>
      <c r="M48" s="3178">
        <f ca="1">H101</f>
        <v>3309</v>
      </c>
      <c r="N48" s="3178"/>
      <c r="O48" s="3178"/>
    </row>
    <row r="49" spans="1:35" ht="25.5" customHeight="1">
      <c r="A49" s="175" t="s">
        <v>2199</v>
      </c>
      <c r="B49" s="3152" t="s">
        <v>2200</v>
      </c>
      <c r="C49" s="3152"/>
      <c r="D49" s="176">
        <v>0</v>
      </c>
      <c r="E49" s="22" t="s">
        <v>2201</v>
      </c>
      <c r="F49" s="27" t="s">
        <v>34</v>
      </c>
      <c r="G49" s="3179"/>
      <c r="H49" s="137"/>
      <c r="I49" s="2479"/>
      <c r="J49" s="2954">
        <v>4</v>
      </c>
      <c r="K49" s="3175" t="str">
        <f>IF(项目基本情况!E8="房地产抵押价值","房地产抵押价值","抵押担保权已注销时的房地产抵押价值")</f>
        <v>抵押担保权已注销时的房地产抵押价值</v>
      </c>
      <c r="L49" s="3175"/>
      <c r="M49" s="3178" t="str">
        <f>IF(项目基本情况!E8="房地产抵押价值",H107,H109)</f>
        <v>——</v>
      </c>
      <c r="N49" s="3178"/>
      <c r="O49" s="3178"/>
    </row>
    <row r="50" spans="1:35" ht="25.5" customHeight="1">
      <c r="A50" s="177"/>
      <c r="B50" s="3152" t="s">
        <v>2202</v>
      </c>
      <c r="C50" s="3152"/>
      <c r="D50" s="178"/>
      <c r="E50" s="30"/>
      <c r="F50" s="179"/>
      <c r="G50" s="3180"/>
      <c r="H50" s="137"/>
      <c r="I50" s="2479"/>
      <c r="J50" s="3175" t="s">
        <v>2203</v>
      </c>
      <c r="K50" s="3175"/>
      <c r="L50" s="3175"/>
      <c r="M50" s="3175"/>
      <c r="N50" s="3175"/>
      <c r="O50" s="3175"/>
    </row>
    <row r="51" spans="1:35" ht="12" customHeight="1">
      <c r="A51" s="180"/>
      <c r="B51" s="3152" t="s">
        <v>2204</v>
      </c>
      <c r="C51" s="3152"/>
      <c r="D51" s="181"/>
      <c r="E51" s="29"/>
      <c r="F51" s="179"/>
      <c r="G51" s="3181"/>
      <c r="H51" s="137"/>
      <c r="I51" s="2479"/>
      <c r="J51" s="2953" t="s">
        <v>2205</v>
      </c>
      <c r="K51" s="3175" t="s">
        <v>2206</v>
      </c>
      <c r="L51" s="3175"/>
      <c r="M51" s="2953" t="s">
        <v>2207</v>
      </c>
      <c r="N51" s="2953" t="s">
        <v>2208</v>
      </c>
      <c r="O51" s="2953" t="s">
        <v>2209</v>
      </c>
    </row>
    <row r="52" spans="1:35" ht="24" customHeight="1">
      <c r="A52" s="182" t="s">
        <v>2210</v>
      </c>
      <c r="B52" s="3152" t="s">
        <v>2211</v>
      </c>
      <c r="C52" s="3152"/>
      <c r="D52" s="181">
        <f ca="1">ROUND(D45*'数据-取费表'!B41/(1+'数据-取费表'!C42),0)</f>
        <v>176</v>
      </c>
      <c r="E52" s="11" t="s">
        <v>2212</v>
      </c>
      <c r="F52" s="183">
        <f>'数据-取费表'!B41</f>
        <v>5.6000000000000001E-2</v>
      </c>
      <c r="G52" s="2481"/>
      <c r="H52" s="137"/>
      <c r="I52" s="2479"/>
      <c r="J52" s="2954">
        <v>1</v>
      </c>
      <c r="K52" s="3159" t="s">
        <v>2213</v>
      </c>
      <c r="L52" s="3159"/>
      <c r="M52" s="1749">
        <f>D48</f>
        <v>0</v>
      </c>
      <c r="N52" s="2954" t="str">
        <f>E48</f>
        <v>销售额×税（费）率</v>
      </c>
      <c r="O52" s="1750" t="str">
        <f>F48</f>
        <v>免征</v>
      </c>
    </row>
    <row r="53" spans="1:35" ht="12" customHeight="1">
      <c r="A53" s="182" t="s">
        <v>2214</v>
      </c>
      <c r="B53" s="3151" t="s">
        <v>2215</v>
      </c>
      <c r="C53" s="3170"/>
      <c r="D53" s="181">
        <f ca="1">ROUND(D45*'数据-取费表'!B41/(1+'数据-取费表'!C42),0)</f>
        <v>176</v>
      </c>
      <c r="E53" s="11" t="s">
        <v>2212</v>
      </c>
      <c r="F53" s="183">
        <f>'数据-取费表'!B41</f>
        <v>5.6000000000000001E-2</v>
      </c>
      <c r="G53" s="2481"/>
      <c r="H53" s="137"/>
      <c r="I53" s="2479"/>
      <c r="J53" s="2954">
        <v>2</v>
      </c>
      <c r="K53" s="3159" t="s">
        <v>2216</v>
      </c>
      <c r="L53" s="3159"/>
      <c r="M53" s="1749">
        <f t="shared" ref="M53:O54" ca="1" si="0">D55</f>
        <v>2</v>
      </c>
      <c r="N53" s="2954" t="str">
        <f t="shared" si="0"/>
        <v>销售额×税（费）率</v>
      </c>
      <c r="O53" s="1750">
        <f t="shared" si="0"/>
        <v>5.0000000000000001E-4</v>
      </c>
    </row>
    <row r="54" spans="1:35" ht="12" customHeight="1">
      <c r="A54" s="182" t="s">
        <v>2217</v>
      </c>
      <c r="B54" s="3151" t="s">
        <v>2218</v>
      </c>
      <c r="C54" s="3170"/>
      <c r="D54" s="181">
        <f ca="1">C68</f>
        <v>176</v>
      </c>
      <c r="E54" s="29" t="s">
        <v>2219</v>
      </c>
      <c r="F54" s="183">
        <f>'数据-取费表'!B41</f>
        <v>5.6000000000000001E-2</v>
      </c>
      <c r="G54" s="2481"/>
      <c r="H54" s="2482"/>
      <c r="I54" s="2479"/>
      <c r="J54" s="2954">
        <v>3</v>
      </c>
      <c r="K54" s="3159" t="s">
        <v>2220</v>
      </c>
      <c r="L54" s="3159"/>
      <c r="M54" s="1749">
        <f t="shared" ca="1" si="0"/>
        <v>1873</v>
      </c>
      <c r="N54" s="2954" t="str">
        <f t="shared" si="0"/>
        <v>增值额×税（费）率</v>
      </c>
      <c r="O54" s="1751" t="str">
        <f t="shared" si="0"/>
        <v>——</v>
      </c>
    </row>
    <row r="55" spans="1:35" ht="24" customHeight="1">
      <c r="A55" s="3171" t="s">
        <v>2221</v>
      </c>
      <c r="B55" s="3172"/>
      <c r="C55" s="3172"/>
      <c r="D55" s="184">
        <f ca="1">IF(H55="个人住宅",0,ROUND(D45*I55,0))</f>
        <v>2</v>
      </c>
      <c r="E55" s="11" t="s">
        <v>2222</v>
      </c>
      <c r="F55" s="183">
        <f>IF(H55="正常",I55,"免征")</f>
        <v>5.0000000000000001E-4</v>
      </c>
      <c r="G55" s="2481"/>
      <c r="H55" s="2478" t="s">
        <v>2223</v>
      </c>
      <c r="I55" s="185">
        <f>'数据-取费表'!B49</f>
        <v>5.0000000000000001E-4</v>
      </c>
      <c r="J55" s="2954" t="str">
        <f>IF(H59="非个人房产","",4)</f>
        <v/>
      </c>
      <c r="K55" s="3159" t="str">
        <f>IF(H59="非个人房产","——","个人所得税")</f>
        <v>——</v>
      </c>
      <c r="L55" s="3159"/>
      <c r="M55" s="1752" t="str">
        <f>D59</f>
        <v>——</v>
      </c>
      <c r="N55" s="2955" t="str">
        <f>E59</f>
        <v>——</v>
      </c>
      <c r="O55" s="1753" t="str">
        <f>F59</f>
        <v>——</v>
      </c>
    </row>
    <row r="56" spans="1:35" ht="24.75">
      <c r="A56" s="3171" t="s">
        <v>2224</v>
      </c>
      <c r="B56" s="3172"/>
      <c r="C56" s="3172"/>
      <c r="D56" s="184">
        <f ca="1">IF(H56="个人住宅",D57,D58)</f>
        <v>1873</v>
      </c>
      <c r="E56" s="11" t="s">
        <v>2225</v>
      </c>
      <c r="F56" s="183" t="str">
        <f>IF(H56="正常",F58,"免征")</f>
        <v>——</v>
      </c>
      <c r="G56" s="2483" t="s">
        <v>2226</v>
      </c>
      <c r="H56" s="2484" t="s">
        <v>2223</v>
      </c>
      <c r="I56" s="2485"/>
      <c r="J56" s="2954" t="str">
        <f>IF(项目基本情况!K6="上海银行",IF(J55="",4,J55+1),"")</f>
        <v/>
      </c>
      <c r="K56" s="3173" t="str">
        <f>IF(项目基本情况!K6="上海银行","其他处置费用","")</f>
        <v/>
      </c>
      <c r="L56" s="3174"/>
      <c r="M56" s="1749" t="str">
        <f>IF(项目基本情况!K6="上海银行",M69,"")</f>
        <v/>
      </c>
      <c r="N56" s="3161" t="str">
        <f>IF(项目基本情况!K6="上海银行","包含处置中涉及的律师、诉讼、拍卖、评估等费用","")</f>
        <v/>
      </c>
      <c r="O56" s="3162"/>
    </row>
    <row r="57" spans="1:35" ht="12.75">
      <c r="A57" s="182" t="s">
        <v>2199</v>
      </c>
      <c r="B57" s="3163" t="s">
        <v>2227</v>
      </c>
      <c r="C57" s="3164"/>
      <c r="D57" s="186">
        <v>0</v>
      </c>
      <c r="E57" s="22" t="s">
        <v>2201</v>
      </c>
      <c r="F57" s="154"/>
      <c r="G57" s="2481"/>
      <c r="H57" s="2485"/>
      <c r="I57" s="2485"/>
      <c r="J57" s="3159">
        <f>IF(AND(J55="",J56=""),4,IF(项目基本情况!K6="上海银行",结果表车库!J56+1,结果表车库!J55+1))</f>
        <v>4</v>
      </c>
      <c r="K57" s="3159" t="s">
        <v>2228</v>
      </c>
      <c r="L57" s="2486" t="s">
        <v>2229</v>
      </c>
      <c r="M57" s="1754"/>
      <c r="N57" s="1755">
        <f ca="1">SUMIF(M52:M56,"&lt;9e307")</f>
        <v>1875</v>
      </c>
      <c r="O57" s="2487"/>
      <c r="P57" s="1748" t="e">
        <f ca="1">N57/M49</f>
        <v>#VALUE!</v>
      </c>
    </row>
    <row r="58" spans="1:35" ht="24.75">
      <c r="A58" s="182" t="s">
        <v>2210</v>
      </c>
      <c r="B58" s="3163" t="s">
        <v>2230</v>
      </c>
      <c r="C58" s="3165"/>
      <c r="D58" s="184">
        <f ca="1">IF(H58="转让取得",C81,C97)</f>
        <v>1873</v>
      </c>
      <c r="E58" s="11" t="s">
        <v>2225</v>
      </c>
      <c r="F58" s="23" t="s">
        <v>34</v>
      </c>
      <c r="G58" s="2481"/>
      <c r="H58" s="2484" t="s">
        <v>2231</v>
      </c>
      <c r="I58" s="2485"/>
      <c r="J58" s="3159"/>
      <c r="K58" s="3159"/>
      <c r="L58" s="2486" t="s">
        <v>2232</v>
      </c>
      <c r="M58" s="1756"/>
      <c r="N58" s="2488" t="str">
        <f ca="1">NUMBERSTRING(INT(N57*10000),2)&amp;"元整"</f>
        <v>壹仟捌佰柒拾伍万元整</v>
      </c>
      <c r="O58" s="2489"/>
    </row>
    <row r="59" spans="1:35" ht="24.75" thickBot="1">
      <c r="A59" s="3166" t="s">
        <v>2233</v>
      </c>
      <c r="B59" s="3167"/>
      <c r="C59" s="3167"/>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68">
        <f>J57+1</f>
        <v>5</v>
      </c>
      <c r="K59" s="3159" t="s">
        <v>2235</v>
      </c>
      <c r="L59" s="2954" t="s">
        <v>2229</v>
      </c>
      <c r="M59" s="1757"/>
      <c r="N59" s="1758" t="e">
        <f ca="1">M49-N57</f>
        <v>#VALUE!</v>
      </c>
      <c r="O59" s="2491"/>
    </row>
    <row r="60" spans="1:35" ht="12" customHeight="1">
      <c r="A60" s="2492"/>
      <c r="B60" s="2414"/>
      <c r="C60" s="2414"/>
      <c r="D60" s="2414"/>
      <c r="E60" s="2163"/>
      <c r="F60" s="2485"/>
      <c r="G60" s="2485"/>
      <c r="H60" s="2493"/>
      <c r="I60" s="137"/>
      <c r="J60" s="3169"/>
      <c r="K60" s="3159"/>
      <c r="L60" s="2486" t="s">
        <v>2232</v>
      </c>
      <c r="M60" s="1756"/>
      <c r="N60" s="2488" t="e">
        <f ca="1">NUMBERSTRING(INT(N59*10000),2)&amp;"元整"</f>
        <v>#VALUE!</v>
      </c>
      <c r="O60" s="2489"/>
    </row>
    <row r="61" spans="1:35" ht="13.5" thickBot="1">
      <c r="A61" s="3158" t="s">
        <v>2236</v>
      </c>
      <c r="B61" s="3158"/>
      <c r="C61" s="3158"/>
      <c r="D61" s="3158"/>
      <c r="E61" s="3158"/>
      <c r="F61" s="2485"/>
      <c r="G61" s="2485"/>
      <c r="H61" s="2493"/>
      <c r="I61" s="137"/>
      <c r="J61" s="2954">
        <f>J59+1</f>
        <v>6</v>
      </c>
      <c r="K61" s="3159" t="s">
        <v>2237</v>
      </c>
      <c r="L61" s="3159"/>
      <c r="M61" s="1759"/>
      <c r="N61" s="1760" t="e">
        <f ca="1">ROUND(N59*10000/'数据-汇总表'!E3,0)</f>
        <v>#VALUE!</v>
      </c>
      <c r="O61" s="2494"/>
    </row>
    <row r="62" spans="1:35" ht="12.75">
      <c r="A62" s="3156" t="s">
        <v>2238</v>
      </c>
      <c r="B62" s="3157"/>
      <c r="C62" s="2948"/>
      <c r="D62" s="2948" t="s">
        <v>2239</v>
      </c>
      <c r="E62" s="191" t="s">
        <v>2240</v>
      </c>
      <c r="F62" s="2485"/>
      <c r="G62" s="2485"/>
      <c r="H62" s="2493"/>
      <c r="I62" s="137"/>
    </row>
    <row r="63" spans="1:35" ht="12.75">
      <c r="A63" s="202" t="s">
        <v>775</v>
      </c>
      <c r="B63" s="192" t="s">
        <v>2241</v>
      </c>
      <c r="C63" s="193">
        <f ca="1">ROUND((C64+C65)/(1+'数据-取费表'!C42),0)</f>
        <v>3151</v>
      </c>
      <c r="D63" s="194"/>
      <c r="E63" s="195"/>
      <c r="F63" s="2485"/>
      <c r="G63" s="2485"/>
      <c r="H63" s="2493"/>
      <c r="I63" s="137"/>
      <c r="J63" s="3160" t="s">
        <v>2242</v>
      </c>
      <c r="K63" s="2958" t="s">
        <v>2243</v>
      </c>
      <c r="L63" s="1747" t="e">
        <f>IF(M49&gt;10000,M49*0.5%,IF(AND(M49&gt;1000,M49&lt;=10000),M49*1%,IF(AND(M49&gt;100,M49&lt;=1000),M49*3%,IF(AND(M49&gt;10,M49&lt;=100),M49*5%,M49*8%))))</f>
        <v>#VALUE!</v>
      </c>
      <c r="M63" s="23" t="e">
        <f>ROUND(L63,1)</f>
        <v>#VALUE!</v>
      </c>
      <c r="Z63" s="2419"/>
      <c r="AI63" s="2420"/>
    </row>
    <row r="64" spans="1:35" ht="14.25" customHeight="1">
      <c r="A64" s="196" t="s">
        <v>770</v>
      </c>
      <c r="B64" s="197" t="s">
        <v>2244</v>
      </c>
      <c r="C64" s="198">
        <f ca="1">D45</f>
        <v>3309</v>
      </c>
      <c r="D64" s="199" t="s">
        <v>32</v>
      </c>
      <c r="E64" s="200"/>
      <c r="F64" s="2485"/>
      <c r="G64" s="2485"/>
      <c r="H64" s="2493"/>
      <c r="I64" s="137"/>
      <c r="J64" s="3160"/>
      <c r="K64" s="2958" t="s">
        <v>2245</v>
      </c>
      <c r="L64" s="1747"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2246</v>
      </c>
      <c r="Z64" s="2419"/>
      <c r="AI64" s="2420"/>
    </row>
    <row r="65" spans="1:35" ht="14.25" customHeight="1">
      <c r="A65" s="196" t="s">
        <v>771</v>
      </c>
      <c r="B65" s="197" t="s">
        <v>2247</v>
      </c>
      <c r="C65" s="201"/>
      <c r="D65" s="199"/>
      <c r="E65" s="200"/>
      <c r="F65" s="2485"/>
      <c r="G65" s="2485"/>
      <c r="H65" s="2493"/>
      <c r="I65" s="137"/>
      <c r="J65" s="3160"/>
      <c r="K65" s="2958" t="s">
        <v>2248</v>
      </c>
      <c r="L65" s="1747" t="e">
        <f>IF(M49&gt;1000,M49*0.1%,IF(AND(M49&gt;500,M49&lt;=1000),M49*0.5%,IF(AND(M49&gt;50,M49&lt;=500),M49*1%,IF(AND(M49&gt;1,M49&lt;=50),M49*1.5%))))</f>
        <v>#VALUE!</v>
      </c>
      <c r="M65" s="23" t="e">
        <f t="shared" si="1"/>
        <v>#VALUE!</v>
      </c>
      <c r="N65" s="137" t="s">
        <v>2246</v>
      </c>
      <c r="Z65" s="2419"/>
      <c r="AI65" s="2420"/>
    </row>
    <row r="66" spans="1:35" ht="14.25" customHeight="1">
      <c r="A66" s="202" t="s">
        <v>772</v>
      </c>
      <c r="B66" s="203" t="s">
        <v>2249</v>
      </c>
      <c r="C66" s="204"/>
      <c r="D66" s="205" t="s">
        <v>32</v>
      </c>
      <c r="E66" s="1771" t="s">
        <v>1371</v>
      </c>
      <c r="F66" s="2485"/>
      <c r="G66" s="2485"/>
      <c r="H66" s="2493"/>
      <c r="I66" s="137"/>
      <c r="J66" s="3160"/>
      <c r="K66" s="2958" t="s">
        <v>2250</v>
      </c>
      <c r="L66" s="1747" t="e">
        <f>M49*0.5%</f>
        <v>#VALUE!</v>
      </c>
      <c r="M66" s="23" t="e">
        <f>IF(L66&gt;0.5,0.5,ROUND(L66,0))</f>
        <v>#VALUE!</v>
      </c>
      <c r="N66" s="137" t="s">
        <v>2251</v>
      </c>
      <c r="Z66" s="2419"/>
      <c r="AI66" s="2420"/>
    </row>
    <row r="67" spans="1:35" ht="14.25" customHeight="1">
      <c r="A67" s="202" t="s">
        <v>773</v>
      </c>
      <c r="B67" s="203" t="s">
        <v>2252</v>
      </c>
      <c r="C67" s="206">
        <f ca="1">C63-C66</f>
        <v>3151</v>
      </c>
      <c r="D67" s="199" t="s">
        <v>32</v>
      </c>
      <c r="E67" s="200"/>
      <c r="F67" s="2485"/>
      <c r="G67" s="2485"/>
      <c r="H67" s="2493"/>
      <c r="I67" s="137"/>
      <c r="J67" s="3160"/>
      <c r="K67" s="295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9"/>
      <c r="AI67" s="2420"/>
    </row>
    <row r="68" spans="1:35" ht="14.25" customHeight="1" thickBot="1">
      <c r="A68" s="207" t="s">
        <v>774</v>
      </c>
      <c r="B68" s="208" t="s">
        <v>2254</v>
      </c>
      <c r="C68" s="209">
        <f ca="1">IF(C67&lt;=0,0,ROUND(C67*D68,0))</f>
        <v>176</v>
      </c>
      <c r="D68" s="210">
        <f>'数据-取费表'!B41</f>
        <v>5.6000000000000001E-2</v>
      </c>
      <c r="E68" s="211"/>
      <c r="F68" s="2485"/>
      <c r="G68" s="2485"/>
      <c r="H68" s="2493"/>
      <c r="I68" s="137"/>
      <c r="J68" s="3160"/>
      <c r="K68" s="2958" t="s">
        <v>2255</v>
      </c>
      <c r="L68" s="1747" t="e">
        <f>IF(M49&gt;10000,M49*0.5%,IF(AND(M49&gt;5000,M49&lt;=10000),M49*1%,IF(AND(M49&gt;1000,M49&lt;=5000),M49*2%,IF(AND(M49&gt;200,M49&lt;=1000),M49*3%,M49*5%))))</f>
        <v>#VALUE!</v>
      </c>
      <c r="M68" s="23" t="e">
        <f>ROUND(L68,1)</f>
        <v>#VALUE!</v>
      </c>
      <c r="Z68" s="2419"/>
      <c r="AI68" s="2420"/>
    </row>
    <row r="69" spans="1:35" s="2442" customFormat="1" ht="16.5" customHeight="1">
      <c r="A69" s="2496"/>
      <c r="B69" s="2497"/>
      <c r="C69" s="2498"/>
      <c r="D69" s="2499"/>
      <c r="E69" s="2500"/>
      <c r="F69" s="2163"/>
      <c r="G69" s="2163"/>
      <c r="H69" s="2162"/>
      <c r="I69" s="2414"/>
      <c r="J69" s="3160"/>
      <c r="K69" s="2958" t="s">
        <v>2256</v>
      </c>
      <c r="L69" s="2501"/>
      <c r="M69" s="23" t="e">
        <f>ROUND(SUM(M63:M68),0)</f>
        <v>#VALUE!</v>
      </c>
      <c r="N69" s="1748" t="e">
        <f>M69/M49</f>
        <v>#VALUE!</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54" t="s">
        <v>2257</v>
      </c>
      <c r="B70" s="3155"/>
      <c r="C70" s="3155"/>
      <c r="D70" s="3155"/>
      <c r="E70" s="3155"/>
      <c r="F70" s="3155"/>
      <c r="G70" s="3155"/>
      <c r="H70" s="315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56" t="s">
        <v>2238</v>
      </c>
      <c r="B71" s="3157"/>
      <c r="C71" s="2948"/>
      <c r="D71" s="2948"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3151</v>
      </c>
      <c r="D72" s="199" t="s">
        <v>32</v>
      </c>
      <c r="E72" s="2947"/>
      <c r="F72" s="2942"/>
      <c r="G72" s="294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19</v>
      </c>
      <c r="D73" s="199" t="s">
        <v>32</v>
      </c>
      <c r="E73" s="2947"/>
      <c r="F73" s="2942"/>
      <c r="G73" s="294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2947"/>
      <c r="F74" s="2942"/>
      <c r="G74" s="294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51" t="s">
        <v>2266</v>
      </c>
      <c r="F76" s="3152"/>
      <c r="G76" s="3152"/>
      <c r="H76" s="315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2959" t="s">
        <v>2268</v>
      </c>
      <c r="F77" s="223"/>
      <c r="G77" s="2509" t="s">
        <v>2269</v>
      </c>
      <c r="H77" s="295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19</v>
      </c>
      <c r="D78" s="225">
        <f>'数据-取费表'!B43</f>
        <v>6.000000000000001E-3</v>
      </c>
      <c r="E78" s="3139" t="s">
        <v>2271</v>
      </c>
      <c r="F78" s="3140"/>
      <c r="G78" s="3140"/>
      <c r="H78" s="314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3132</v>
      </c>
      <c r="D79" s="199" t="s">
        <v>32</v>
      </c>
      <c r="E79" s="2947"/>
      <c r="F79" s="2942"/>
      <c r="G79" s="294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164.84210526315789</v>
      </c>
      <c r="D80" s="199"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2"/>
      <c r="G80" s="294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1873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54" t="s">
        <v>2275</v>
      </c>
      <c r="B83" s="3155"/>
      <c r="C83" s="3155"/>
      <c r="D83" s="3155"/>
      <c r="E83" s="3155"/>
      <c r="F83" s="3155"/>
      <c r="G83" s="3155"/>
      <c r="H83" s="315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56" t="s">
        <v>2238</v>
      </c>
      <c r="B84" s="3157"/>
      <c r="C84" s="2948"/>
      <c r="D84" s="2948"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3151</v>
      </c>
      <c r="D85" s="199" t="s">
        <v>32</v>
      </c>
      <c r="E85" s="2947"/>
      <c r="F85" s="2942"/>
      <c r="G85" s="294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19</v>
      </c>
      <c r="D86" s="234"/>
      <c r="E86" s="2947"/>
      <c r="F86" s="2942"/>
      <c r="G86" s="294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2943"/>
      <c r="F87" s="2944"/>
      <c r="G87" s="2944"/>
      <c r="H87" s="2946"/>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2944"/>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2944"/>
      <c r="G89" s="2944"/>
      <c r="H89" s="2946"/>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2944"/>
      <c r="G90" s="2944"/>
      <c r="H90" s="2946"/>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IF(H91="——",成本法仓储!C33,I91)</f>
        <v>0</v>
      </c>
      <c r="D91" s="225"/>
      <c r="E91" s="3139" t="s">
        <v>2284</v>
      </c>
      <c r="F91" s="3140"/>
      <c r="G91" s="3140"/>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139" t="s">
        <v>2288</v>
      </c>
      <c r="F92" s="3140"/>
      <c r="G92" s="3140"/>
      <c r="H92" s="314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19</v>
      </c>
      <c r="D93" s="225">
        <f>'数据-取费表'!B43</f>
        <v>6.000000000000001E-3</v>
      </c>
      <c r="E93" s="3139" t="s">
        <v>2271</v>
      </c>
      <c r="F93" s="3140"/>
      <c r="G93" s="3140"/>
      <c r="H93" s="314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142" t="s">
        <v>2292</v>
      </c>
      <c r="F94" s="3143"/>
      <c r="G94" s="3143"/>
      <c r="H94" s="3144"/>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3132</v>
      </c>
      <c r="D95" s="199" t="s">
        <v>32</v>
      </c>
      <c r="E95" s="2947"/>
      <c r="F95" s="2942"/>
      <c r="G95" s="294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164.84210526315789</v>
      </c>
      <c r="D96" s="199"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2"/>
      <c r="G96" s="294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1873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7"/>
    </row>
    <row r="99" spans="1:35" ht="21.75" customHeight="1" thickBot="1">
      <c r="A99" s="2470" t="s">
        <v>2293</v>
      </c>
      <c r="B99" s="2414"/>
      <c r="C99" s="2414"/>
      <c r="D99" s="2414"/>
      <c r="E99" s="2163"/>
      <c r="F99" s="2163"/>
      <c r="G99" s="2163"/>
      <c r="H99" s="2162"/>
      <c r="I99" s="137"/>
    </row>
    <row r="100" spans="1:35" ht="18.75" customHeight="1">
      <c r="A100" s="3105" t="s">
        <v>2294</v>
      </c>
      <c r="B100" s="3106"/>
      <c r="C100" s="3106"/>
      <c r="D100" s="3145"/>
      <c r="E100" s="3106" t="s">
        <v>2295</v>
      </c>
      <c r="F100" s="3106"/>
      <c r="G100" s="3106"/>
      <c r="H100" s="3145"/>
      <c r="I100" s="137"/>
    </row>
    <row r="101" spans="1:35" ht="18.75" customHeight="1">
      <c r="A101" s="3146" t="s">
        <v>2296</v>
      </c>
      <c r="B101" s="3147"/>
      <c r="C101" s="735" t="str">
        <f>C4</f>
        <v>成本法车库</v>
      </c>
      <c r="D101" s="736" t="str">
        <f>D4</f>
        <v>收益法车库</v>
      </c>
      <c r="E101" s="3148" t="s">
        <v>2297</v>
      </c>
      <c r="F101" s="3130"/>
      <c r="G101" s="2516" t="s">
        <v>2298</v>
      </c>
      <c r="H101" s="1043">
        <f ca="1">H118</f>
        <v>3309</v>
      </c>
      <c r="I101" s="137"/>
    </row>
    <row r="102" spans="1:35" ht="18.75" customHeight="1">
      <c r="A102" s="3127" t="s">
        <v>2299</v>
      </c>
      <c r="B102" s="2516" t="s">
        <v>2298</v>
      </c>
      <c r="C102" s="735">
        <f ca="1">C19</f>
        <v>3231</v>
      </c>
      <c r="D102" s="736">
        <f ca="1">D19</f>
        <v>3387</v>
      </c>
      <c r="E102" s="3148"/>
      <c r="F102" s="3130"/>
      <c r="G102" s="2516" t="s">
        <v>2300</v>
      </c>
      <c r="H102" s="370">
        <f ca="1">I118</f>
        <v>8766</v>
      </c>
      <c r="I102" s="137"/>
    </row>
    <row r="103" spans="1:35" ht="42.75" customHeight="1">
      <c r="A103" s="3127"/>
      <c r="B103" s="2516" t="s">
        <v>2300</v>
      </c>
      <c r="C103" s="737">
        <f ca="1">C20</f>
        <v>8560</v>
      </c>
      <c r="D103" s="738">
        <f ca="1">D20</f>
        <v>8973</v>
      </c>
      <c r="E103" s="3149" t="s">
        <v>2301</v>
      </c>
      <c r="F103" s="3150"/>
      <c r="G103" s="2517" t="s">
        <v>2302</v>
      </c>
      <c r="H103" s="1043">
        <f>IF(D36="正常操作",H104+H105+H106,H105+H106)</f>
        <v>0</v>
      </c>
      <c r="I103" s="137"/>
    </row>
    <row r="104" spans="1:35" ht="18.75" customHeight="1">
      <c r="A104" s="3127" t="s">
        <v>2303</v>
      </c>
      <c r="B104" s="2518" t="s">
        <v>2298</v>
      </c>
      <c r="C104" s="739">
        <f ca="1">H118</f>
        <v>3309</v>
      </c>
      <c r="D104" s="740"/>
      <c r="E104" s="2263" t="s">
        <v>2304</v>
      </c>
      <c r="F104" s="2255"/>
      <c r="G104" s="2517" t="s">
        <v>2302</v>
      </c>
      <c r="H104" s="1044">
        <f>IF(D36="同一抵押权人同一抵押物续贷",C36&amp;"（未扣减，详见特别提示）",C36)</f>
        <v>0</v>
      </c>
      <c r="I104" s="137"/>
    </row>
    <row r="105" spans="1:35" ht="18.75" customHeight="1" thickBot="1">
      <c r="A105" s="3128"/>
      <c r="B105" s="2519" t="s">
        <v>2300</v>
      </c>
      <c r="C105" s="741">
        <f ca="1">I118</f>
        <v>8766</v>
      </c>
      <c r="D105" s="742"/>
      <c r="E105" s="2263" t="s">
        <v>2305</v>
      </c>
      <c r="F105" s="2255"/>
      <c r="G105" s="2517" t="s">
        <v>2302</v>
      </c>
      <c r="H105" s="1044">
        <f>C37</f>
        <v>0</v>
      </c>
      <c r="I105" s="137"/>
    </row>
    <row r="106" spans="1:35" ht="18.75" customHeight="1">
      <c r="A106" s="2414" t="s">
        <v>2306</v>
      </c>
      <c r="B106" s="2414"/>
      <c r="C106" s="2414"/>
      <c r="D106" s="2414"/>
      <c r="E106" s="2520" t="s">
        <v>2307</v>
      </c>
      <c r="F106" s="2255"/>
      <c r="G106" s="2517" t="s">
        <v>2302</v>
      </c>
      <c r="H106" s="1044">
        <f>C38</f>
        <v>0</v>
      </c>
      <c r="I106" s="137"/>
    </row>
    <row r="107" spans="1:35" ht="18.75" customHeight="1">
      <c r="A107" s="137"/>
      <c r="B107" s="137"/>
      <c r="C107" s="137"/>
      <c r="D107" s="137"/>
      <c r="E107" s="3129" t="str">
        <f>IF(项目基本情况!E8="已注销","——","3.房地产抵押价值")</f>
        <v>3.房地产抵押价值</v>
      </c>
      <c r="F107" s="3130"/>
      <c r="G107" s="2516" t="s">
        <v>2298</v>
      </c>
      <c r="H107" s="1043">
        <f ca="1">IF(E107="——","——",H101-H103)</f>
        <v>3309</v>
      </c>
      <c r="I107" s="137"/>
    </row>
    <row r="108" spans="1:35" ht="18.75" customHeight="1">
      <c r="A108" s="137"/>
      <c r="B108" s="137"/>
      <c r="C108" s="137"/>
      <c r="D108" s="137"/>
      <c r="E108" s="3129"/>
      <c r="F108" s="3130"/>
      <c r="G108" s="2516" t="s">
        <v>2300</v>
      </c>
      <c r="H108" s="370">
        <f ca="1">ROUND(H107*10000/'数据-汇总表'!E3,0)</f>
        <v>973</v>
      </c>
      <c r="I108" s="137"/>
    </row>
    <row r="109" spans="1:35" ht="18.75" customHeight="1">
      <c r="A109" s="137"/>
      <c r="B109" s="137"/>
      <c r="C109" s="137"/>
      <c r="D109" s="137"/>
      <c r="E109" s="3129" t="str">
        <f>IF(项目基本情况!E8="已注销及未注销","4.抵押担保权已注销时的房地产抵押价值",IF(项目基本情况!E8="已注销","3.抵押担保权已注销时的房地产抵押价值","——"))</f>
        <v>——</v>
      </c>
      <c r="F109" s="3130"/>
      <c r="G109" s="2516" t="s">
        <v>2298</v>
      </c>
      <c r="H109" s="347" t="str">
        <f>IF(E109="——","——",H101-H105-H106)</f>
        <v>——</v>
      </c>
      <c r="I109" s="137"/>
    </row>
    <row r="110" spans="1:35" ht="18.75" customHeight="1">
      <c r="A110" s="137"/>
      <c r="B110" s="137"/>
      <c r="C110" s="137"/>
      <c r="D110" s="137"/>
      <c r="E110" s="3129"/>
      <c r="F110" s="3130"/>
      <c r="G110" s="2516" t="s">
        <v>2300</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6" t="s">
        <v>2298</v>
      </c>
      <c r="H111" s="1043" t="str">
        <f>IF(E111="——","——",N59)</f>
        <v>——</v>
      </c>
      <c r="I111" s="137"/>
    </row>
    <row r="112" spans="1:35" ht="18.75" customHeight="1" thickBot="1">
      <c r="A112" s="137"/>
      <c r="B112" s="137"/>
      <c r="C112" s="137"/>
      <c r="D112" s="137"/>
      <c r="E112" s="3133"/>
      <c r="F112" s="3134"/>
      <c r="G112" s="2521" t="s">
        <v>2300</v>
      </c>
      <c r="H112" s="789" t="str">
        <f>IF(E111="——","——",N61)</f>
        <v>——</v>
      </c>
      <c r="I112" s="137"/>
    </row>
    <row r="113" spans="1:11" ht="18.75" customHeight="1">
      <c r="A113" s="137"/>
      <c r="B113" s="137"/>
      <c r="C113" s="137"/>
      <c r="D113" s="137"/>
      <c r="E113" s="3135" t="s">
        <v>2306</v>
      </c>
      <c r="F113" s="3135"/>
      <c r="G113" s="3135"/>
      <c r="H113" s="3135"/>
      <c r="I113" s="137"/>
    </row>
    <row r="114" spans="1:11" ht="3.75" customHeight="1">
      <c r="A114" s="2414"/>
      <c r="B114" s="2414"/>
      <c r="C114" s="2414"/>
      <c r="D114" s="2414"/>
      <c r="E114" s="2492"/>
      <c r="F114" s="2492"/>
      <c r="G114" s="2492"/>
      <c r="H114" s="2492"/>
      <c r="I114" s="2414"/>
    </row>
    <row r="115" spans="1:11" ht="18.75" customHeight="1">
      <c r="A115" s="3136" t="s">
        <v>2308</v>
      </c>
      <c r="B115" s="3137"/>
      <c r="C115" s="3137"/>
      <c r="D115" s="3137"/>
      <c r="E115" s="3137"/>
      <c r="F115" s="3137"/>
      <c r="G115" s="3137"/>
      <c r="H115" s="3137"/>
      <c r="I115" s="3138"/>
    </row>
    <row r="116" spans="1:11" ht="27" customHeight="1">
      <c r="A116" s="3062" t="s">
        <v>2309</v>
      </c>
      <c r="B116" s="3122" t="s">
        <v>2310</v>
      </c>
      <c r="C116" s="3122" t="s">
        <v>2311</v>
      </c>
      <c r="D116" s="3124" t="s">
        <v>2312</v>
      </c>
      <c r="E116" s="3125"/>
      <c r="F116" s="3126" t="s">
        <v>2313</v>
      </c>
      <c r="G116" s="3126"/>
      <c r="H116" s="3062" t="s">
        <v>2314</v>
      </c>
      <c r="I116" s="3062"/>
    </row>
    <row r="117" spans="1:11" ht="18.75" customHeight="1">
      <c r="A117" s="3062"/>
      <c r="B117" s="3123"/>
      <c r="C117" s="3123"/>
      <c r="D117" s="2939" t="s">
        <v>2315</v>
      </c>
      <c r="E117" s="2939" t="s">
        <v>2316</v>
      </c>
      <c r="F117" s="2939" t="s">
        <v>2315</v>
      </c>
      <c r="G117" s="2939" t="s">
        <v>2317</v>
      </c>
      <c r="H117" s="2939" t="s">
        <v>2315</v>
      </c>
      <c r="I117" s="2939" t="s">
        <v>2317</v>
      </c>
    </row>
    <row r="118" spans="1:11" ht="24.75" customHeight="1">
      <c r="A118" s="2522" t="str">
        <f>项目基本情况!S2</f>
        <v>北京市房地产</v>
      </c>
      <c r="B118" s="2939">
        <f>M18</f>
        <v>3774.75</v>
      </c>
      <c r="C118" s="2939">
        <f>M19</f>
        <v>1667.14</v>
      </c>
      <c r="D118" s="2939" t="e">
        <f ca="1">ROUND(IF(D32="总价",C34,E118*B118/10000),0)</f>
        <v>#REF!</v>
      </c>
      <c r="E118" s="2939" t="e">
        <f ca="1">ROUND(IF(C33="自定义",IF(D32="楼面单价",C34,D118*10000/B118),I118-G118),0)</f>
        <v>#REF!</v>
      </c>
      <c r="F118" s="2939" t="e">
        <f ca="1">ROUND(IF(D32="总价",C35,G118*B118/10000),0)</f>
        <v>#REF!</v>
      </c>
      <c r="G118" s="2939" t="e">
        <f ca="1">ROUND(IF(D32="楼面单价",C35,F118*10000/B118),0)</f>
        <v>#REF!</v>
      </c>
      <c r="H118" s="2939">
        <f ca="1">ROUND(IF(D32="总价",C32,I118*B118/10000),0)</f>
        <v>3309</v>
      </c>
      <c r="I118" s="2939">
        <f ca="1">ROUND(IF(D32="楼面单价",C32,H118*10000/B118),0)</f>
        <v>8766</v>
      </c>
    </row>
    <row r="119" spans="1:11" ht="18.75" customHeight="1">
      <c r="A119" s="3062" t="s">
        <v>2318</v>
      </c>
      <c r="B119" s="3062"/>
      <c r="C119" s="3062"/>
      <c r="D119" s="3111" t="e">
        <f ca="1">NUMBERSTRING(INT(D118*10000),2)&amp;"元整"</f>
        <v>#REF!</v>
      </c>
      <c r="E119" s="3113"/>
      <c r="F119" s="3111" t="e">
        <f ca="1">NUMBERSTRING(INT(F118*10000),2)&amp;"元整"</f>
        <v>#REF!</v>
      </c>
      <c r="G119" s="3113"/>
      <c r="H119" s="3111" t="str">
        <f ca="1">NUMBERSTRING(INT(H118*10000),2)&amp;"元整"</f>
        <v>叁仟叁佰零玖万元整</v>
      </c>
      <c r="I119" s="3113"/>
    </row>
    <row r="120" spans="1:11" ht="18.75" customHeight="1">
      <c r="A120" s="3116" t="str">
        <f>IF(项目基本情况!B9="房地产市场价值","",MID(E103,3,LEN(E103)-2))</f>
        <v/>
      </c>
      <c r="B120" s="3117"/>
      <c r="C120" s="3118"/>
      <c r="D120" s="3116">
        <f>H103</f>
        <v>0</v>
      </c>
      <c r="E120" s="3117"/>
      <c r="F120" s="3117"/>
      <c r="G120" s="3117"/>
      <c r="H120" s="3117"/>
      <c r="I120" s="3118"/>
      <c r="K120" s="2419" t="str">
        <f>IF(D120=0,"故，本次评估不存在"&amp;A120,"故，本次评估"&amp;A120&amp;"为人民币"&amp;D120&amp;"万元整。")</f>
        <v>故，本次评估不存在</v>
      </c>
    </row>
    <row r="121" spans="1:11" ht="18.75" customHeight="1">
      <c r="A121" s="3119" t="s">
        <v>2318</v>
      </c>
      <c r="B121" s="3120"/>
      <c r="C121" s="3121"/>
      <c r="D121" s="3111" t="str">
        <f>IF(D120=0,"零元整",NUMBERSTRING(INT(D120*10000),2)&amp;"元整")</f>
        <v>零元整</v>
      </c>
      <c r="E121" s="3112"/>
      <c r="F121" s="3112"/>
      <c r="G121" s="3112"/>
      <c r="H121" s="3112"/>
      <c r="I121" s="3113"/>
    </row>
    <row r="122" spans="1:11" ht="18.75" customHeight="1">
      <c r="A122" s="3115" t="str">
        <f>IF(项目基本情况!B9="房地产市场价值","",MID(E107,3,LEN(E107)-2))</f>
        <v/>
      </c>
      <c r="B122" s="3115"/>
      <c r="C122" s="3115"/>
      <c r="D122" s="3116">
        <f ca="1">H107</f>
        <v>3309</v>
      </c>
      <c r="E122" s="3117"/>
      <c r="F122" s="3117"/>
      <c r="G122" s="3117"/>
      <c r="H122" s="3117"/>
      <c r="I122" s="3118"/>
    </row>
    <row r="123" spans="1:11" ht="18.75" customHeight="1">
      <c r="A123" s="3062" t="s">
        <v>2318</v>
      </c>
      <c r="B123" s="3062"/>
      <c r="C123" s="3062"/>
      <c r="D123" s="3111" t="str">
        <f ca="1">NUMBERSTRING(INT(D122*10000),2)&amp;"元整"</f>
        <v>叁仟叁佰零玖万元整</v>
      </c>
      <c r="E123" s="3112"/>
      <c r="F123" s="3112"/>
      <c r="G123" s="3112"/>
      <c r="H123" s="3112"/>
      <c r="I123" s="3113"/>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2" t="s">
        <v>2318</v>
      </c>
      <c r="B125" s="3062"/>
      <c r="C125" s="3062"/>
      <c r="D125" s="3111" t="e">
        <f>NUMBERSTRING(INT(D124*10000),2)&amp;"元整"</f>
        <v>#VALUE!</v>
      </c>
      <c r="E125" s="3112"/>
      <c r="F125" s="3112"/>
      <c r="G125" s="3112"/>
      <c r="H125" s="3112"/>
      <c r="I125" s="3113"/>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2" t="s">
        <v>2318</v>
      </c>
      <c r="B127" s="3062"/>
      <c r="C127" s="3062"/>
      <c r="D127" s="3111" t="e">
        <f>NUMBERSTRING(INT(D126*10000),2)&amp;"元整"</f>
        <v>#VALUE!</v>
      </c>
      <c r="E127" s="3112"/>
      <c r="F127" s="3112"/>
      <c r="G127" s="3112"/>
      <c r="H127" s="3112"/>
      <c r="I127" s="3113"/>
    </row>
    <row r="128" spans="1:11" ht="21.75" customHeight="1">
      <c r="A128" s="3114" t="s">
        <v>2319</v>
      </c>
      <c r="B128" s="3114"/>
      <c r="C128" s="3114"/>
      <c r="D128" s="3114"/>
      <c r="E128" s="3114"/>
      <c r="F128" s="3114"/>
      <c r="G128" s="3114"/>
      <c r="H128" s="3114"/>
      <c r="I128" s="3114"/>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2322</v>
      </c>
      <c r="G135" s="2540"/>
      <c r="H135" s="2540"/>
      <c r="I135" s="2541" t="s">
        <v>2323</v>
      </c>
    </row>
    <row r="136" spans="1:35" ht="21.75" customHeight="1">
      <c r="A136" s="794"/>
      <c r="B136" s="2542"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2325</v>
      </c>
    </row>
    <row r="139" spans="1:35" ht="21.75" customHeight="1">
      <c r="A139" s="794"/>
      <c r="B139" s="2542" t="s">
        <v>2326</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2325</v>
      </c>
    </row>
    <row r="142" spans="1:35" ht="21.75" customHeight="1">
      <c r="A142" s="794"/>
      <c r="B142" s="2542"/>
      <c r="C142" s="2543"/>
      <c r="D142" s="2544"/>
      <c r="E142" s="2544"/>
      <c r="F142" s="2337"/>
      <c r="G142" s="794"/>
      <c r="H142" s="794"/>
      <c r="I142" s="794"/>
    </row>
    <row r="143" spans="1:35" s="138" customFormat="1" ht="21.75" customHeight="1">
      <c r="A143" s="794"/>
      <c r="B143" s="2542"/>
      <c r="C143" s="2543"/>
      <c r="D143" s="2544"/>
      <c r="E143" s="2544"/>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44" sqref="D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3069</v>
      </c>
      <c r="D1" s="1818" t="s">
        <v>70</v>
      </c>
      <c r="E1" s="1819" t="s">
        <v>1387</v>
      </c>
      <c r="F1" s="1281">
        <f ca="1">J53</f>
        <v>43.15</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3387</v>
      </c>
      <c r="C2" s="1843" t="s">
        <v>1516</v>
      </c>
      <c r="D2" s="1843"/>
      <c r="E2" s="1844"/>
      <c r="F2" s="1845"/>
      <c r="G2" s="1846"/>
      <c r="H2" s="1838"/>
      <c r="I2" s="1838"/>
      <c r="J2" s="1838"/>
      <c r="K2" s="1839"/>
      <c r="L2" s="1838"/>
      <c r="M2" s="1838"/>
    </row>
    <row r="3" spans="1:37" ht="18" customHeight="1" thickBot="1">
      <c r="A3" s="1847" t="s">
        <v>1517</v>
      </c>
      <c r="B3" s="1848">
        <f ca="1">IF(ISERROR(B2*10000/F43),0,ROUND(B2*10000/F43,0))</f>
        <v>8973</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157</v>
      </c>
      <c r="D5" s="1820" t="s">
        <v>1402</v>
      </c>
      <c r="E5" s="1291"/>
      <c r="F5" s="1292"/>
      <c r="G5" s="1849"/>
      <c r="H5" s="343">
        <v>1</v>
      </c>
      <c r="I5" s="344" t="s">
        <v>1401</v>
      </c>
      <c r="J5" s="1290">
        <f ca="1">J6+J10+J12</f>
        <v>0</v>
      </c>
      <c r="K5" s="1820" t="s">
        <v>1402</v>
      </c>
      <c r="L5" s="1291"/>
      <c r="M5" s="1292"/>
    </row>
    <row r="6" spans="1:37" ht="18" customHeight="1">
      <c r="A6" s="1289" t="s">
        <v>1035</v>
      </c>
      <c r="B6" s="3253" t="s">
        <v>1403</v>
      </c>
      <c r="C6" s="1294">
        <f ca="1">ROUND(F6*F8*F7*(1-F9)/10000,0)</f>
        <v>157</v>
      </c>
      <c r="D6" s="163" t="s">
        <v>3033</v>
      </c>
      <c r="E6" s="346" t="s">
        <v>1405</v>
      </c>
      <c r="F6" s="347">
        <f ca="1">INDIRECT("'数据-取费表'!u"&amp;$G$1)</f>
        <v>1.2</v>
      </c>
      <c r="G6" s="1849"/>
      <c r="H6" s="1289" t="s">
        <v>1035</v>
      </c>
      <c r="I6" s="3253" t="s">
        <v>1403</v>
      </c>
      <c r="J6" s="345">
        <f ca="1">ROUND(M6*M8*M7*(1-M9)/10000,0)</f>
        <v>0</v>
      </c>
      <c r="K6" s="163" t="s">
        <v>3032</v>
      </c>
      <c r="L6" s="346" t="s">
        <v>1405</v>
      </c>
      <c r="M6" s="347">
        <f ca="1">INDIRECT("'数据-取费表'!z"&amp;$G$1)</f>
        <v>0</v>
      </c>
    </row>
    <row r="7" spans="1:37" ht="18" customHeight="1">
      <c r="A7" s="1293"/>
      <c r="B7" s="3254"/>
      <c r="C7" s="1295"/>
      <c r="D7" s="351"/>
      <c r="E7" s="2960" t="s">
        <v>1406</v>
      </c>
      <c r="F7" s="347">
        <f ca="1">IF(INDIRECT("'数据-取费表'!ah"&amp;$G$1)="",INDIRECT("'数据-取费表'!k"&amp;$G$1),INDIRECT("'数据-取费表'!ah"&amp;$G$1))</f>
        <v>3774.75</v>
      </c>
      <c r="G7" s="1849"/>
      <c r="H7" s="348"/>
      <c r="I7" s="3254"/>
      <c r="J7" s="350"/>
      <c r="K7" s="351"/>
      <c r="L7" s="346" t="s">
        <v>1406</v>
      </c>
      <c r="M7" s="347">
        <f ca="1">F7</f>
        <v>3774.75</v>
      </c>
    </row>
    <row r="8" spans="1:37" ht="18" customHeight="1">
      <c r="A8" s="348"/>
      <c r="B8" s="3254"/>
      <c r="C8" s="350"/>
      <c r="D8" s="351"/>
      <c r="E8" s="346" t="s">
        <v>1407</v>
      </c>
      <c r="F8" s="347">
        <f ca="1">INDIRECT("'数据-取费表'!ai"&amp;$G$1)</f>
        <v>365</v>
      </c>
      <c r="G8" s="1849"/>
      <c r="H8" s="348"/>
      <c r="I8" s="3254"/>
      <c r="J8" s="350"/>
      <c r="K8" s="351"/>
      <c r="L8" s="346" t="s">
        <v>1407</v>
      </c>
      <c r="M8" s="347">
        <f ca="1">INDIRECT("'数据-取费表'!ai"&amp;$G$1)</f>
        <v>365</v>
      </c>
    </row>
    <row r="9" spans="1:37" ht="18" customHeight="1">
      <c r="A9" s="348"/>
      <c r="B9" s="3255"/>
      <c r="C9" s="350"/>
      <c r="D9" s="351"/>
      <c r="E9" s="346" t="s">
        <v>1408</v>
      </c>
      <c r="F9" s="356">
        <f ca="1">INDIRECT("'数据-取费表'!w"&amp;$G$1)</f>
        <v>0.05</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3042</v>
      </c>
      <c r="E10" s="357" t="s">
        <v>1410</v>
      </c>
      <c r="F10" s="1364"/>
      <c r="G10" s="1849"/>
      <c r="H10" s="1289" t="s">
        <v>1039</v>
      </c>
      <c r="I10" s="1821" t="s">
        <v>1409</v>
      </c>
      <c r="J10" s="345">
        <f ca="1">ROUND(IF(M10="押一",J6/12*M11,IF(M10="押二",J6/12*2*M11,IF(M10="押三",J6/12*3*M11,J11*M11))),0)</f>
        <v>0</v>
      </c>
      <c r="K10" s="1822" t="s">
        <v>3041</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1365</v>
      </c>
      <c r="D13" s="1329" t="s">
        <v>1415</v>
      </c>
      <c r="E13" s="1329" t="s">
        <v>1416</v>
      </c>
      <c r="F13" s="1330">
        <f ca="1">INDIRECT("'数据-取费表'!y"&amp;$G$1)</f>
        <v>0.95</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944</v>
      </c>
      <c r="D14" s="2947" t="s">
        <v>1418</v>
      </c>
      <c r="E14" s="2942"/>
      <c r="F14" s="363"/>
      <c r="G14" s="1849"/>
      <c r="H14" s="1199" t="s">
        <v>1035</v>
      </c>
      <c r="I14" s="346" t="s">
        <v>1419</v>
      </c>
      <c r="J14" s="23">
        <f ca="1">C29</f>
        <v>1437</v>
      </c>
      <c r="K14" s="2959"/>
      <c r="L14" s="977"/>
      <c r="M14" s="978"/>
    </row>
    <row r="15" spans="1:37" s="1856" customFormat="1" ht="18" customHeight="1" thickBot="1">
      <c r="A15" s="1199" t="s">
        <v>1036</v>
      </c>
      <c r="B15" s="346" t="s">
        <v>1420</v>
      </c>
      <c r="C15" s="23">
        <f ca="1">ROUND(C14*F15,0)</f>
        <v>28</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36</v>
      </c>
      <c r="K16" s="1335" t="s">
        <v>1425</v>
      </c>
      <c r="L16" s="2949"/>
      <c r="M16" s="1292"/>
    </row>
    <row r="17" spans="1:37" s="1856" customFormat="1" ht="18" customHeight="1">
      <c r="A17" s="1199" t="s">
        <v>1390</v>
      </c>
      <c r="B17" s="346" t="s">
        <v>1426</v>
      </c>
      <c r="C17" s="23">
        <f ca="1">ROUND(F17*(F43+INDIRECT("'数据-取费表'!S"&amp;$G$1))/10000,0)</f>
        <v>75</v>
      </c>
      <c r="D17" s="346" t="s">
        <v>1427</v>
      </c>
      <c r="E17" s="346" t="s">
        <v>1428</v>
      </c>
      <c r="F17" s="25">
        <f>'数据-取费表'!B35</f>
        <v>200</v>
      </c>
      <c r="G17" s="1852"/>
      <c r="H17" s="1199" t="s">
        <v>1035</v>
      </c>
      <c r="I17" s="346" t="s">
        <v>1429</v>
      </c>
      <c r="J17" s="23">
        <f ca="1">ROUND(IF(项目基本情况!B11="自然人",J5*M17,J18+J19+J20),1)</f>
        <v>14.1</v>
      </c>
      <c r="K17" s="2947" t="s">
        <v>1430</v>
      </c>
      <c r="L17" s="2945"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14</v>
      </c>
      <c r="D18" s="346" t="s">
        <v>1421</v>
      </c>
      <c r="E18" s="346" t="s">
        <v>1422</v>
      </c>
      <c r="F18" s="366">
        <f>'数据-取费表'!B36</f>
        <v>1.4999999999999999E-2</v>
      </c>
      <c r="G18" s="1852"/>
      <c r="H18" s="1199" t="s">
        <v>1034</v>
      </c>
      <c r="I18" s="346" t="s">
        <v>1433</v>
      </c>
      <c r="J18" s="23">
        <f ca="1">ROUND(J5*M18/(1+'数据-取费表'!C42),2)</f>
        <v>0</v>
      </c>
      <c r="K18" s="2945"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1061</v>
      </c>
      <c r="D19" s="139" t="s">
        <v>1436</v>
      </c>
      <c r="E19" s="2957"/>
      <c r="F19" s="25"/>
      <c r="G19" s="1849"/>
      <c r="H19" s="1199" t="s">
        <v>1036</v>
      </c>
      <c r="I19" s="346" t="s">
        <v>1437</v>
      </c>
      <c r="J19" s="23">
        <f ca="1">IF(K19="按租金收入计税",ROUND(J5*M19,2),ROUND(C29*M19*0.7,2))</f>
        <v>12.07</v>
      </c>
      <c r="K19" s="1826" t="s">
        <v>1438</v>
      </c>
      <c r="L19" s="346" t="s">
        <v>1422</v>
      </c>
      <c r="M19" s="366">
        <f>IF(K19="按租金收入计税",'数据-取费表'!B51,'数据-取费表'!B50)</f>
        <v>1.2E-2</v>
      </c>
    </row>
    <row r="20" spans="1:37" s="1856" customFormat="1" ht="18" customHeight="1">
      <c r="A20" s="1199" t="s">
        <v>1039</v>
      </c>
      <c r="B20" s="346" t="s">
        <v>1439</v>
      </c>
      <c r="C20" s="23">
        <f ca="1">ROUND(C19*F20,0)</f>
        <v>32</v>
      </c>
      <c r="D20" s="368" t="s">
        <v>1440</v>
      </c>
      <c r="E20" s="346" t="s">
        <v>1422</v>
      </c>
      <c r="F20" s="366">
        <f>'数据-取费表'!B37</f>
        <v>0.03</v>
      </c>
      <c r="G20" s="1852"/>
      <c r="H20" s="1199" t="s">
        <v>1389</v>
      </c>
      <c r="I20" s="163" t="s">
        <v>1441</v>
      </c>
      <c r="J20" s="24">
        <f ca="1">ROUND(M20*M21/10000,2)</f>
        <v>2</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18</v>
      </c>
      <c r="D21" s="368" t="s">
        <v>1445</v>
      </c>
      <c r="E21" s="346" t="s">
        <v>1446</v>
      </c>
      <c r="F21" s="366">
        <f>'数据-取费表'!B38</f>
        <v>0.03</v>
      </c>
      <c r="G21" s="1852"/>
      <c r="H21" s="371"/>
      <c r="I21" s="355"/>
      <c r="J21" s="28"/>
      <c r="K21" s="372"/>
      <c r="L21" s="346" t="s">
        <v>1447</v>
      </c>
      <c r="M21" s="347">
        <f ca="1">INDIRECT("'数据-取费表'!r"&amp;$G$1)</f>
        <v>1667.14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2957"/>
      <c r="F22" s="25"/>
      <c r="G22" s="1849"/>
      <c r="H22" s="1199" t="s">
        <v>1039</v>
      </c>
      <c r="I22" s="346" t="s">
        <v>1449</v>
      </c>
      <c r="J22" s="23">
        <f ca="1">ROUND(J14*M22,1)</f>
        <v>21.6</v>
      </c>
      <c r="K22" s="2945" t="s">
        <v>1450</v>
      </c>
      <c r="L22" s="346" t="s">
        <v>1422</v>
      </c>
      <c r="M22" s="373">
        <f ca="1">INDIRECT("'数据-取费表'!Ak"&amp;$G$1)</f>
        <v>1.4999999999999999E-2</v>
      </c>
    </row>
    <row r="23" spans="1:37" s="1856" customFormat="1" ht="18" customHeight="1">
      <c r="A23" s="1199" t="s">
        <v>1034</v>
      </c>
      <c r="B23" s="346" t="s">
        <v>1451</v>
      </c>
      <c r="C23" s="23">
        <f ca="1">IF('数据-取费表'!B22&lt;=1,ROUND(C19*F24*F23/2,0)+ROUND(C20*F24*F23/2,0),ROUND(C19*(POWER((1+F24),F23/2)-1),0)+ROUND(C20*(POWER((1+F24),F23/2)-1),0))</f>
        <v>52</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ROUND(J13*M23,1)</f>
        <v>0</v>
      </c>
      <c r="K23" s="2945"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3"/>
      <c r="D25" s="139" t="s">
        <v>1462</v>
      </c>
      <c r="E25" s="2957"/>
      <c r="F25" s="25"/>
      <c r="G25" s="1849"/>
      <c r="H25" s="1327" t="s">
        <v>1031</v>
      </c>
      <c r="I25" s="1342" t="s">
        <v>1463</v>
      </c>
      <c r="J25" s="354">
        <f ca="1">J5-J16</f>
        <v>-36</v>
      </c>
      <c r="K25" s="1343" t="s">
        <v>1464</v>
      </c>
      <c r="L25" s="1344"/>
      <c r="M25" s="1345"/>
    </row>
    <row r="26" spans="1:37">
      <c r="A26" s="1199" t="s">
        <v>1034</v>
      </c>
      <c r="B26" s="346" t="s">
        <v>1465</v>
      </c>
      <c r="C26" s="23">
        <f ca="1">ROUND((C19+C20)*F26,0)</f>
        <v>164</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4.4999999999999998E-2</v>
      </c>
    </row>
    <row r="27" spans="1:37" ht="18" customHeight="1">
      <c r="A27" s="1199" t="s">
        <v>1036</v>
      </c>
      <c r="B27" s="346" t="s">
        <v>1471</v>
      </c>
      <c r="C27" s="23">
        <f ca="1">ROUND(F21*F26,4)</f>
        <v>4.4999999999999997E-3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1437</v>
      </c>
      <c r="D29" s="1340"/>
      <c r="E29" s="1338"/>
      <c r="F29" s="1341"/>
      <c r="G29" s="1852"/>
      <c r="H29" s="379" t="s">
        <v>1033</v>
      </c>
      <c r="I29" s="380" t="s">
        <v>1479</v>
      </c>
      <c r="J29" s="381">
        <f ca="1">ROUND(J26/(1+F40)^F41,0)</f>
        <v>0</v>
      </c>
      <c r="K29" s="382" t="s">
        <v>1480</v>
      </c>
      <c r="L29" s="383"/>
      <c r="M29" s="384">
        <f ca="1">INDIRECT("'数据-取费表'!k"&amp;$G$1)</f>
        <v>3774.75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48</v>
      </c>
      <c r="D30" s="1335" t="s">
        <v>1425</v>
      </c>
      <c r="E30" s="2949"/>
      <c r="F30" s="1292"/>
      <c r="G30" s="1849"/>
      <c r="H30" s="744"/>
      <c r="I30" s="745"/>
      <c r="J30" s="746"/>
      <c r="K30" s="747"/>
      <c r="L30" s="748"/>
      <c r="M30" s="749"/>
    </row>
    <row r="31" spans="1:37" ht="18" customHeight="1">
      <c r="A31" s="1199" t="s">
        <v>1035</v>
      </c>
      <c r="B31" s="346" t="s">
        <v>1429</v>
      </c>
      <c r="C31" s="23">
        <f ca="1">ROUND(IF(项目基本情况!B11="自然人",C5*F31,C32+C33+C34),1)</f>
        <v>22.4</v>
      </c>
      <c r="D31" s="2947" t="s">
        <v>1430</v>
      </c>
      <c r="E31" s="2945"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IF(项目基本情况!B11="自然人","——",ROUND(C5*F32/(1+'数据-取费表'!C42),2))</f>
        <v>8.3699999999999992</v>
      </c>
      <c r="D32" s="2945"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IF(项目基本情况!B11="自然人","——",IF(D33="按租金收入计税",ROUND(C5*F33,2),IF(D33="按房产原值计税",ROUND(C29*F33*0.7,2),INDIRECT("'数据-取费表'!Aj"&amp;$G$1))))</f>
        <v>12.07</v>
      </c>
      <c r="D33" s="1826" t="s">
        <v>3189</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IF(项目基本情况!B11="自然人","——",ROUND(F34*F35/10000,2))</f>
        <v>2</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1667.14</v>
      </c>
      <c r="G35" s="1849"/>
      <c r="H35" s="744"/>
      <c r="I35" s="1858"/>
      <c r="J35" s="1859"/>
      <c r="K35" s="1860"/>
      <c r="L35" s="1857"/>
      <c r="M35" s="1857"/>
    </row>
    <row r="36" spans="1:18" ht="18" customHeight="1">
      <c r="A36" s="1350" t="s">
        <v>1039</v>
      </c>
      <c r="B36" s="346" t="s">
        <v>1449</v>
      </c>
      <c r="C36" s="23">
        <f ca="1">ROUND(C29*F36,1)</f>
        <v>21.6</v>
      </c>
      <c r="D36" s="2945"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3">
        <f ca="1">ROUND(C13*F37,1)</f>
        <v>2</v>
      </c>
      <c r="D37" s="2945"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2.4</v>
      </c>
      <c r="D38" s="1340" t="s">
        <v>1459</v>
      </c>
      <c r="E38" s="1338" t="s">
        <v>1455</v>
      </c>
      <c r="F38" s="1334">
        <f ca="1">INDIRECT("'数据-取费表'!Am"&amp;$G$1)</f>
        <v>1.4999999999999999E-2</v>
      </c>
      <c r="G38" s="1849"/>
      <c r="H38" s="1857"/>
      <c r="I38" s="1858"/>
      <c r="J38" s="1859"/>
      <c r="K38" s="1863"/>
      <c r="L38" s="1857"/>
      <c r="M38" s="1857"/>
    </row>
    <row r="39" spans="1:18" ht="24.6" customHeight="1" thickTop="1">
      <c r="A39" s="1327" t="s">
        <v>1031</v>
      </c>
      <c r="B39" s="1342" t="s">
        <v>1483</v>
      </c>
      <c r="C39" s="354">
        <f ca="1">C5-C30</f>
        <v>109</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3373</v>
      </c>
      <c r="D40" s="369" t="s">
        <v>1469</v>
      </c>
      <c r="E40" s="346" t="s">
        <v>1470</v>
      </c>
      <c r="F40" s="356">
        <f ca="1">INDIRECT("'数据-取费表'!I"&amp;$G$1)</f>
        <v>4.4999999999999998E-2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43.15</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8936</v>
      </c>
      <c r="D43" s="382" t="s">
        <v>1488</v>
      </c>
      <c r="E43" s="383" t="s">
        <v>1489</v>
      </c>
      <c r="F43" s="384">
        <f ca="1">INDIRECT("'数据-取费表'!k"&amp;$G$1)</f>
        <v>3774.75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-4091</v>
      </c>
      <c r="D46" s="1870" t="str">
        <f>C2</f>
        <v>万元</v>
      </c>
      <c r="E46" s="1864"/>
      <c r="F46" s="1864"/>
      <c r="I46" s="1871" t="s">
        <v>1521</v>
      </c>
      <c r="J46" s="1872"/>
      <c r="K46" s="1873"/>
      <c r="L46" s="1874">
        <f ca="1">IF(M47="住宅",0,IF(L48&gt;J51,L60,J60))</f>
        <v>14</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3139</v>
      </c>
      <c r="K47" s="1880" t="s">
        <v>1527</v>
      </c>
      <c r="L47" s="1881">
        <f ca="1">INDIRECT("'数据-取费表'!d"&amp;$G$1)</f>
        <v>50</v>
      </c>
      <c r="M47" s="1836" t="str">
        <f>IF(ISNUMBER(FIND("住宅",C1)),"住宅","非住宅")</f>
        <v>非住宅</v>
      </c>
      <c r="O47" s="1882" t="s">
        <v>1040</v>
      </c>
      <c r="P47" s="1883" t="s">
        <v>1528</v>
      </c>
      <c r="Q47" s="1884">
        <f ca="1">C40+J29</f>
        <v>3373</v>
      </c>
      <c r="R47" s="1884" t="s">
        <v>1529</v>
      </c>
    </row>
    <row r="48" spans="1:18" s="1840" customFormat="1" ht="28.5" thickBot="1">
      <c r="A48" s="1358" t="s">
        <v>1135</v>
      </c>
      <c r="B48" s="344" t="s">
        <v>1401</v>
      </c>
      <c r="C48" s="2956">
        <f ca="1">C49+C53+C55</f>
        <v>0</v>
      </c>
      <c r="D48" s="1360"/>
      <c r="E48" s="1361"/>
      <c r="F48" s="1179"/>
      <c r="G48" s="791"/>
      <c r="H48" s="792"/>
      <c r="I48" s="1885" t="s">
        <v>1530</v>
      </c>
      <c r="J48" s="1886" t="s">
        <v>3172</v>
      </c>
      <c r="K48" s="1887" t="s">
        <v>1531</v>
      </c>
      <c r="L48" s="1888">
        <f ca="1">INDIRECT("'数据-取费表'!f"&amp;$G$1)</f>
        <v>43.15</v>
      </c>
      <c r="O48" s="1882" t="s">
        <v>1041</v>
      </c>
      <c r="P48" s="1883" t="s">
        <v>1532</v>
      </c>
      <c r="Q48" s="1884">
        <f ca="1">J60</f>
        <v>14</v>
      </c>
      <c r="R48" s="1884" t="s">
        <v>1533</v>
      </c>
    </row>
    <row r="49" spans="1:18" s="1840" customFormat="1" ht="13.5" thickBot="1">
      <c r="A49" s="1192" t="s">
        <v>1136</v>
      </c>
      <c r="B49" s="1827" t="s">
        <v>1490</v>
      </c>
      <c r="C49" s="1362">
        <f ca="1">ROUND(F49*F51*F50*(1-F52)/10000,0)</f>
        <v>0</v>
      </c>
      <c r="D49" s="1274" t="s">
        <v>3034</v>
      </c>
      <c r="E49" s="1828" t="s">
        <v>1491</v>
      </c>
      <c r="F49" s="1279"/>
      <c r="G49" s="1889"/>
      <c r="H49" s="792"/>
      <c r="I49" s="1885" t="s">
        <v>1534</v>
      </c>
      <c r="J49" s="1890">
        <v>2014</v>
      </c>
      <c r="K49" s="1887" t="s">
        <v>1535</v>
      </c>
      <c r="L49" s="1891"/>
      <c r="O49" s="1892" t="s">
        <v>1042</v>
      </c>
      <c r="P49" s="1883" t="s">
        <v>1536</v>
      </c>
      <c r="Q49" s="1884">
        <f ca="1">C29</f>
        <v>1437</v>
      </c>
      <c r="R49" s="1884" t="s">
        <v>1529</v>
      </c>
    </row>
    <row r="50" spans="1:18" s="1840" customFormat="1" ht="13.5" thickBot="1">
      <c r="A50" s="1193"/>
      <c r="B50" s="1196"/>
      <c r="C50" s="1366"/>
      <c r="D50" s="1170"/>
      <c r="E50" s="1275" t="s">
        <v>1406</v>
      </c>
      <c r="F50" s="1276">
        <f ca="1">F7</f>
        <v>3774.75</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4"/>
      <c r="B51" s="1196"/>
      <c r="C51" s="1197"/>
      <c r="D51" s="1170"/>
      <c r="E51" s="1198" t="s">
        <v>1407</v>
      </c>
      <c r="F51" s="347">
        <f ca="1">F8</f>
        <v>365</v>
      </c>
      <c r="I51" s="1896" t="s">
        <v>1540</v>
      </c>
      <c r="J51" s="1897">
        <f>IF(J49="",J50,J49+J50-YEAR('数据-取费表'!B2))</f>
        <v>56</v>
      </c>
      <c r="K51" s="1898" t="s">
        <v>1541</v>
      </c>
      <c r="L51" s="1899">
        <f ca="1">ROUND(-PV(INDIRECT("'数据-取费表'!h"&amp;$G$1),L48,(C39-C13*C76),0),0)</f>
        <v>-143</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3014">
        <v>0.09</v>
      </c>
      <c r="K52" s="1901" t="s">
        <v>1544</v>
      </c>
      <c r="L52" s="1902"/>
      <c r="O52" s="1892" t="s">
        <v>1045</v>
      </c>
      <c r="P52" s="1883" t="s">
        <v>1545</v>
      </c>
      <c r="Q52" s="1884">
        <f ca="1">J53</f>
        <v>43.15</v>
      </c>
      <c r="R52" s="1884" t="s">
        <v>1546</v>
      </c>
    </row>
    <row r="53" spans="1:18" s="1840" customFormat="1" ht="24.75" thickBot="1">
      <c r="A53" s="1403" t="s">
        <v>1137</v>
      </c>
      <c r="B53" s="1829" t="s">
        <v>1409</v>
      </c>
      <c r="C53" s="360">
        <f ca="1">ROUND(IF(F53="押一",C49/12*F11,IF(F53="押二",C49/12*2*F11,IF(F53="押三",C49/12*3*F11,C54*F11))),0)</f>
        <v>0</v>
      </c>
      <c r="D53" s="1822" t="s">
        <v>3041</v>
      </c>
      <c r="E53" s="357" t="s">
        <v>1410</v>
      </c>
      <c r="F53" s="1364"/>
      <c r="I53" s="1903" t="s">
        <v>1547</v>
      </c>
      <c r="J53" s="1904">
        <f ca="1">IF(M47="住宅",J51,IF(D1="——",MIN(J51,L48),IF(D1="在建（套用方法）",MIN(J51,L48-'数据-取费表'!B24),IF(D1="土地（套用方法）",MIN(J51,L48-'数据-取费表'!B20)))))</f>
        <v>43.15</v>
      </c>
      <c r="K53" s="3256" t="s">
        <v>1548</v>
      </c>
      <c r="L53" s="3257"/>
      <c r="O53" s="1882" t="s">
        <v>1046</v>
      </c>
      <c r="P53" s="1883" t="s">
        <v>1549</v>
      </c>
      <c r="Q53" s="1884">
        <f ca="1">Q47+Q48</f>
        <v>3387</v>
      </c>
      <c r="R53" s="1884" t="s">
        <v>1047</v>
      </c>
    </row>
    <row r="54" spans="1:18" s="1840" customFormat="1" ht="13.5" thickBot="1">
      <c r="A54" s="1404"/>
      <c r="B54" s="1823" t="s">
        <v>1388</v>
      </c>
      <c r="C54" s="1176"/>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52"/>
      <c r="F55" s="1905"/>
      <c r="I55" s="1908" t="s">
        <v>1551</v>
      </c>
      <c r="J55" s="1909">
        <f ca="1">ROUND(IF(J47="钢混",J57/J50,1-(1-2%)*(J50-J57)/J50),3)</f>
        <v>0.214</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1365</v>
      </c>
      <c r="D56" s="1912"/>
      <c r="E56" s="1913"/>
      <c r="F56" s="1905"/>
      <c r="I56" s="1914" t="s">
        <v>1554</v>
      </c>
      <c r="J56" s="1915" t="s">
        <v>3058</v>
      </c>
      <c r="K56" s="1885" t="s">
        <v>1555</v>
      </c>
      <c r="L56" s="1888" t="str">
        <f ca="1">IF(L48&lt;J51,"——",L48-J53)</f>
        <v>——</v>
      </c>
      <c r="O56" s="1882" t="s">
        <v>1040</v>
      </c>
      <c r="P56" s="1883" t="s">
        <v>1528</v>
      </c>
      <c r="Q56" s="1884">
        <f ca="1">C40+J29</f>
        <v>3373</v>
      </c>
      <c r="R56" s="1884" t="s">
        <v>1529</v>
      </c>
    </row>
    <row r="57" spans="1:18" s="1840" customFormat="1" ht="24.75" thickBot="1">
      <c r="A57" s="1916"/>
      <c r="B57" s="1167" t="s">
        <v>1478</v>
      </c>
      <c r="C57" s="281">
        <f ca="1">C29</f>
        <v>1437</v>
      </c>
      <c r="D57" s="1917"/>
      <c r="E57" s="1918"/>
      <c r="F57" s="1919"/>
      <c r="I57" s="1920" t="s">
        <v>1556</v>
      </c>
      <c r="J57" s="1921">
        <f ca="1">IF(OR(M47="住宅",J51&lt;L48,J56="是"),"——",J51-L48)</f>
        <v>12.850000000000001</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38</v>
      </c>
      <c r="D58" s="1177" t="s">
        <v>1425</v>
      </c>
      <c r="E58" s="1178"/>
      <c r="F58" s="1179"/>
      <c r="I58" s="1920" t="s">
        <v>1560</v>
      </c>
      <c r="J58" s="1922">
        <f ca="1">IF(J55&lt;0.4,0.4,J55)</f>
        <v>0.4</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ROUND(IF(项目基本情况!B11="自然人",C48*F59,C60+C61+C62),1)</f>
        <v>14.1</v>
      </c>
      <c r="D59" s="1180" t="s">
        <v>1430</v>
      </c>
      <c r="E59" s="1181" t="s">
        <v>1431</v>
      </c>
      <c r="F59" s="367" t="str">
        <f ca="1">IF(项目基本情况!B11="企业","",IF(INDIRECT("'数据-取费表'!c"&amp;$G$1)="住宅",5%,IF(F49*F50*F51/12/(1+'数据-取费表'!C42)&gt;20000,12%,7%)))</f>
        <v/>
      </c>
      <c r="I59" s="1920" t="s">
        <v>1563</v>
      </c>
      <c r="J59" s="1921">
        <f ca="1">IF(OR(M47="住宅",J51&lt;L48,J56="是"),"——",ROUND(C29*J58,0))</f>
        <v>575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IF(项目基本情况!B11="自然人","——",ROUND(C48*F60/(1+'数据-取费表'!C42),2))</f>
        <v>0</v>
      </c>
      <c r="D60" s="1181" t="s">
        <v>1434</v>
      </c>
      <c r="E60" s="1167" t="s">
        <v>1422</v>
      </c>
      <c r="F60" s="376">
        <f t="shared" ref="F60:F66" si="0">F32</f>
        <v>5.6000000000000001E-2</v>
      </c>
      <c r="I60" s="1923" t="s">
        <v>1565</v>
      </c>
      <c r="J60" s="1924">
        <f ca="1">IF(OR(M47="住宅",J51&lt;L48,J56="是"),"0",ROUND(J59/(1+J52)^J53,0))</f>
        <v>14</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IF(项目基本情况!B11="自然人","——",IF(D61="按租金收入计税",ROUND(C48*F61,2),IF(D61="按房产原值计税",ROUND(C57*F61*0.7,2),INDIRECT("'数据-取费表'!Aj"&amp;$G$1))))</f>
        <v>12.07</v>
      </c>
      <c r="D61" s="1826" t="s">
        <v>1438</v>
      </c>
      <c r="E61" s="1167" t="s">
        <v>1494</v>
      </c>
      <c r="F61" s="366">
        <f t="shared" si="0"/>
        <v>1.2E-2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199" t="s">
        <v>1495</v>
      </c>
      <c r="B62" s="1166" t="s">
        <v>1496</v>
      </c>
      <c r="C62" s="24">
        <f ca="1">IF(项目基本情况!B11="自然人","——",ROUND(F62*F63/10000,2))</f>
        <v>2</v>
      </c>
      <c r="D62" s="1182" t="s">
        <v>1497</v>
      </c>
      <c r="E62" s="1167" t="s">
        <v>1498</v>
      </c>
      <c r="F62" s="370">
        <f t="shared" si="0"/>
        <v>12</v>
      </c>
      <c r="I62" s="1927" t="s">
        <v>1570</v>
      </c>
      <c r="J62" s="1928" t="s">
        <v>1571</v>
      </c>
      <c r="K62" s="1928" t="s">
        <v>1572</v>
      </c>
      <c r="L62" s="1928" t="s">
        <v>1573</v>
      </c>
      <c r="M62" s="1929" t="s">
        <v>1574</v>
      </c>
      <c r="O62" s="1882" t="s">
        <v>1046</v>
      </c>
      <c r="P62" s="1883" t="s">
        <v>1575</v>
      </c>
      <c r="Q62" s="1884">
        <f ca="1">Q56+Q57</f>
        <v>3373</v>
      </c>
      <c r="R62" s="1884" t="s">
        <v>1047</v>
      </c>
    </row>
    <row r="63" spans="1:18" s="1840" customFormat="1" ht="13.5" thickBot="1">
      <c r="A63" s="371"/>
      <c r="B63" s="1173"/>
      <c r="C63" s="28"/>
      <c r="D63" s="1183"/>
      <c r="E63" s="1167" t="s">
        <v>1499</v>
      </c>
      <c r="F63" s="347">
        <f t="shared" ca="1" si="0"/>
        <v>1667.14</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ROUND(C57*F64,1)</f>
        <v>21.6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ROUND(C56*F65,1)</f>
        <v>2</v>
      </c>
      <c r="D65" s="1181" t="s">
        <v>1454</v>
      </c>
      <c r="E65" s="1167" t="s">
        <v>1455</v>
      </c>
      <c r="F65" s="375">
        <f t="shared" ca="1" si="0"/>
        <v>1.5E-3</v>
      </c>
      <c r="I65" s="1927" t="s">
        <v>1579</v>
      </c>
      <c r="J65" s="1928">
        <v>40</v>
      </c>
      <c r="K65" s="1928">
        <v>30</v>
      </c>
      <c r="L65" s="1928">
        <v>50</v>
      </c>
      <c r="M65" s="1930">
        <v>0.02</v>
      </c>
      <c r="O65" s="1882" t="s">
        <v>1040</v>
      </c>
      <c r="P65" s="1883" t="s">
        <v>1580</v>
      </c>
      <c r="Q65" s="1884">
        <f ca="1">C40+J29</f>
        <v>3373</v>
      </c>
      <c r="R65" s="1884" t="s">
        <v>1529</v>
      </c>
    </row>
    <row r="66" spans="1:18" s="1840" customFormat="1" ht="16.5" thickBot="1">
      <c r="A66" s="1199" t="s">
        <v>1504</v>
      </c>
      <c r="B66" s="1167" t="s">
        <v>1439</v>
      </c>
      <c r="C66" s="23">
        <f ca="1">ROUND(C48*F66,1)</f>
        <v>0</v>
      </c>
      <c r="D66" s="1181" t="s">
        <v>1505</v>
      </c>
      <c r="E66" s="1167" t="s">
        <v>1422</v>
      </c>
      <c r="F66" s="356">
        <f t="shared" ca="1" si="0"/>
        <v>1.4999999999999999E-2</v>
      </c>
      <c r="O66" s="1882" t="s">
        <v>1041</v>
      </c>
      <c r="P66" s="1883" t="s">
        <v>1558</v>
      </c>
      <c r="Q66" s="1884">
        <f ca="1">L60</f>
        <v>0</v>
      </c>
      <c r="R66" s="1884" t="s">
        <v>1581</v>
      </c>
    </row>
    <row r="67" spans="1:18" s="1840" customFormat="1" ht="16.5" thickBot="1">
      <c r="A67" s="1174" t="s">
        <v>1031</v>
      </c>
      <c r="B67" s="1184" t="s">
        <v>1463</v>
      </c>
      <c r="C67" s="360">
        <f ca="1">C48-C58</f>
        <v>-38</v>
      </c>
      <c r="D67" s="1180" t="s">
        <v>1464</v>
      </c>
      <c r="E67" s="1185"/>
      <c r="F67" s="1186"/>
      <c r="O67" s="1892" t="s">
        <v>1042</v>
      </c>
      <c r="P67" s="1883" t="s">
        <v>1562</v>
      </c>
      <c r="Q67" s="1931">
        <f ca="1">L51</f>
        <v>-143</v>
      </c>
      <c r="R67" s="1884" t="s">
        <v>1582</v>
      </c>
    </row>
    <row r="68" spans="1:18" s="1840" customFormat="1" ht="16.5" thickBot="1">
      <c r="A68" s="1164" t="s">
        <v>1032</v>
      </c>
      <c r="B68" s="1165" t="s">
        <v>1485</v>
      </c>
      <c r="C68" s="345">
        <f ca="1">ROUND(C67*(1-((1+F70)/(1+F68))^F69)/(F68-F70),0)</f>
        <v>-718</v>
      </c>
      <c r="D68" s="1182" t="s">
        <v>1469</v>
      </c>
      <c r="E68" s="1167" t="s">
        <v>1470</v>
      </c>
      <c r="F68" s="356">
        <f ca="1">F40</f>
        <v>4.4999999999999998E-2</v>
      </c>
      <c r="O68" s="1892" t="s">
        <v>1043</v>
      </c>
      <c r="P68" s="1932" t="s">
        <v>1583</v>
      </c>
      <c r="Q68" s="1884">
        <f ca="1">ROUND(Q69-Q70*Q71,0)</f>
        <v>-7</v>
      </c>
      <c r="R68" s="1884" t="s">
        <v>1051</v>
      </c>
    </row>
    <row r="69" spans="1:18" s="1840" customFormat="1" ht="13.5" thickBot="1">
      <c r="A69" s="1168"/>
      <c r="B69" s="1169"/>
      <c r="C69" s="350"/>
      <c r="D69" s="1187" t="s">
        <v>1473</v>
      </c>
      <c r="E69" s="1167" t="s">
        <v>1474</v>
      </c>
      <c r="F69" s="378">
        <f ca="1">F41</f>
        <v>43.15</v>
      </c>
      <c r="O69" s="1892" t="s">
        <v>1048</v>
      </c>
      <c r="P69" s="1932" t="s">
        <v>1584</v>
      </c>
      <c r="Q69" s="1884">
        <f ca="1">C39</f>
        <v>109</v>
      </c>
      <c r="R69" s="1884" t="s">
        <v>1529</v>
      </c>
    </row>
    <row r="70" spans="1:18" s="1840" customFormat="1" ht="13.5" thickBot="1">
      <c r="A70" s="1171"/>
      <c r="B70" s="1172"/>
      <c r="C70" s="354"/>
      <c r="D70" s="1183"/>
      <c r="E70" s="1167" t="s">
        <v>1477</v>
      </c>
      <c r="F70" s="1273"/>
      <c r="O70" s="1892" t="s">
        <v>1049</v>
      </c>
      <c r="P70" s="1932" t="s">
        <v>1585</v>
      </c>
      <c r="Q70" s="1884">
        <f ca="1">C13</f>
        <v>1365</v>
      </c>
      <c r="R70" s="1884" t="s">
        <v>1529</v>
      </c>
    </row>
    <row r="71" spans="1:18" s="1840" customFormat="1" ht="13.5" thickBot="1">
      <c r="A71" s="1188" t="s">
        <v>1033</v>
      </c>
      <c r="B71" s="1189" t="s">
        <v>1487</v>
      </c>
      <c r="C71" s="381">
        <f ca="1">ROUND(C68*10000/F71,0)</f>
        <v>-1902</v>
      </c>
      <c r="D71" s="1190" t="s">
        <v>1488</v>
      </c>
      <c r="E71" s="1191" t="s">
        <v>1489</v>
      </c>
      <c r="F71" s="384">
        <f ca="1">F43</f>
        <v>3774.75</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116</v>
      </c>
      <c r="D75" s="1840"/>
      <c r="E75" s="1840"/>
      <c r="F75" s="1840"/>
      <c r="K75" s="1866"/>
      <c r="L75" s="1840"/>
      <c r="O75" s="1882" t="s">
        <v>1046</v>
      </c>
      <c r="P75" s="1883" t="s">
        <v>1549</v>
      </c>
      <c r="Q75" s="1884">
        <f ca="1">Q65+Q66</f>
        <v>3373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-6.4000000000000057E-2</v>
      </c>
    </row>
    <row r="80" spans="1:18">
      <c r="B80" s="385" t="s">
        <v>1511</v>
      </c>
      <c r="C80" s="317">
        <f ca="1">ROUND(C75/C39,3)</f>
        <v>1.0640000000000001</v>
      </c>
    </row>
    <row r="81" spans="2:3">
      <c r="B81" s="313" t="s">
        <v>1512</v>
      </c>
      <c r="C81" s="281"/>
    </row>
    <row r="82" spans="2:3">
      <c r="B82" s="316" t="s">
        <v>1513</v>
      </c>
      <c r="C82" s="318">
        <f ca="1">1-C83</f>
        <v>0.59499999999999997</v>
      </c>
    </row>
    <row r="83" spans="2:3">
      <c r="B83" s="316" t="s">
        <v>1514</v>
      </c>
      <c r="C83" s="317">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I30" sqref="I3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t="s">
        <v>3069</v>
      </c>
      <c r="C1" s="241"/>
      <c r="D1" s="241"/>
      <c r="E1" s="241"/>
      <c r="F1" s="241"/>
      <c r="G1" s="1377">
        <f>MATCH(B1,'数据-取费表'!A6:A16,0)+5</f>
        <v>8</v>
      </c>
    </row>
    <row r="2" spans="1:9" s="243" customFormat="1" ht="18" customHeight="1">
      <c r="A2" s="244" t="s">
        <v>2328</v>
      </c>
      <c r="B2" s="245">
        <f ca="1">IF(D2="——",C52,C52-E2)</f>
        <v>3231</v>
      </c>
      <c r="C2" s="242" t="s">
        <v>2329</v>
      </c>
      <c r="D2" s="2545" t="s">
        <v>70</v>
      </c>
      <c r="E2" s="1438" t="e">
        <f ca="1">SUMIF(INDIRECT("'"&amp;G2&amp;"'"&amp;"!A:A"),"承租人权益价值",INDIRECT("'"&amp;G2&amp;"'"&amp;"!c:c"))</f>
        <v>#REF!</v>
      </c>
      <c r="F2" s="2546" t="s">
        <v>2329</v>
      </c>
      <c r="G2" s="2547"/>
    </row>
    <row r="3" spans="1:9" s="243" customFormat="1" ht="18" customHeight="1" thickBot="1">
      <c r="A3" s="246" t="s">
        <v>2330</v>
      </c>
      <c r="B3" s="247">
        <f ca="1">ROUND(B2*10000/(IF(B1="",'数据-汇总表'!E3,INDIRECT("'数据-取费表'!k"&amp;$G$1))),0)</f>
        <v>8560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1324</v>
      </c>
      <c r="D5" s="254" t="s">
        <v>2335</v>
      </c>
      <c r="E5" s="255" t="s">
        <v>2336</v>
      </c>
      <c r="F5" s="255" t="s">
        <v>2337</v>
      </c>
      <c r="G5" s="256"/>
    </row>
    <row r="6" spans="1:9" s="257" customFormat="1" ht="13.5" customHeight="1">
      <c r="A6" s="947" t="s">
        <v>2338</v>
      </c>
      <c r="B6" s="258" t="s">
        <v>2339</v>
      </c>
      <c r="C6" s="259">
        <f ca="1">基准地价修正!E39</f>
        <v>1212</v>
      </c>
      <c r="D6" s="260"/>
      <c r="E6" s="261"/>
      <c r="F6" s="261"/>
      <c r="G6" s="262"/>
    </row>
    <row r="7" spans="1:9" s="257" customFormat="1" ht="13.5" customHeight="1">
      <c r="A7" s="947" t="s">
        <v>2340</v>
      </c>
      <c r="B7" s="258" t="s">
        <v>2341</v>
      </c>
      <c r="C7" s="263">
        <f ca="1">ROUND(C6*F7,0)</f>
        <v>37</v>
      </c>
      <c r="D7" s="263"/>
      <c r="E7" s="261"/>
      <c r="F7" s="264">
        <f>'数据-取费表'!B48+'数据-取费表'!B49</f>
        <v>3.0499999999999999E-2</v>
      </c>
      <c r="G7" s="262"/>
    </row>
    <row r="8" spans="1:9" s="266" customFormat="1">
      <c r="A8" s="947" t="s">
        <v>2342</v>
      </c>
      <c r="B8" s="258" t="s">
        <v>2343</v>
      </c>
      <c r="C8" s="263">
        <f ca="1">IF(G8="已包含在土地购买价格中","0",IF(B1="",'数据-取费表'!B29,IF(G9="全部缴纳",C9+C10,H9)))</f>
        <v>75</v>
      </c>
      <c r="D8" s="265"/>
      <c r="E8" s="263"/>
      <c r="F8" s="264"/>
      <c r="G8" s="3015" t="s">
        <v>3191</v>
      </c>
    </row>
    <row r="9" spans="1:9" s="257" customFormat="1" ht="13.5" customHeight="1">
      <c r="A9" s="948" t="s">
        <v>800</v>
      </c>
      <c r="B9" s="267" t="s">
        <v>2344</v>
      </c>
      <c r="C9" s="268">
        <f ca="1">ROUND(D9*E9/10000,0)</f>
        <v>0</v>
      </c>
      <c r="D9" s="1030">
        <f ca="1">IF(B1="",'数据-汇总表'!E5,IF(INDIRECT("'数据-取费表'!c"&amp;$G$1)="住宅",INDIRECT("'数据-取费表'!k"&amp;$G$1),0))</f>
        <v>0</v>
      </c>
      <c r="E9" s="268">
        <f>'数据-取费表'!B27</f>
        <v>160</v>
      </c>
      <c r="F9" s="264"/>
      <c r="G9" s="2549" t="s">
        <v>3160</v>
      </c>
      <c r="H9" s="1388"/>
      <c r="I9" s="2550" t="s">
        <v>2345</v>
      </c>
    </row>
    <row r="10" spans="1:9" s="257" customFormat="1" ht="13.5" customHeight="1">
      <c r="A10" s="948" t="s">
        <v>801</v>
      </c>
      <c r="B10" s="267" t="s">
        <v>2346</v>
      </c>
      <c r="C10" s="268">
        <f ca="1">ROUND(D10*E10/10000,0)</f>
        <v>75</v>
      </c>
      <c r="D10" s="1030">
        <f ca="1">IF(B1="",'数据-汇总表'!E6,IF(INDIRECT("'数据-取费表'!c"&amp;$G$1)="住宅",INDIRECT("'数据-取费表'!s"&amp;$G$1),INDIRECT("'数据-取费表'!k"&amp;$G$1)+INDIRECT("'数据-取费表'!s"&amp;$G$1)))</f>
        <v>3774.75</v>
      </c>
      <c r="E10" s="268">
        <f>'数据-取费表'!B28</f>
        <v>200</v>
      </c>
      <c r="F10" s="264"/>
      <c r="G10" s="269"/>
    </row>
    <row r="11" spans="1:9" s="257" customFormat="1" ht="13.5" hidden="1" customHeight="1">
      <c r="A11" s="270" t="s">
        <v>7</v>
      </c>
      <c r="B11" s="258" t="s">
        <v>2347</v>
      </c>
      <c r="C11" s="254"/>
      <c r="D11" s="1032"/>
      <c r="E11" s="261"/>
      <c r="F11" s="261"/>
      <c r="G11" s="262"/>
    </row>
    <row r="12" spans="1:9" s="257" customFormat="1" ht="13.5" hidden="1" customHeight="1">
      <c r="A12" s="270" t="s">
        <v>8</v>
      </c>
      <c r="B12" s="258" t="s">
        <v>2348</v>
      </c>
      <c r="C12" s="254">
        <v>0</v>
      </c>
      <c r="D12" s="1032"/>
      <c r="E12" s="271"/>
      <c r="F12" s="264">
        <v>3.0499999999999999E-2</v>
      </c>
      <c r="G12" s="262"/>
    </row>
    <row r="13" spans="1:9" s="257" customFormat="1" ht="13.5" hidden="1" customHeight="1">
      <c r="A13" s="270" t="s">
        <v>9</v>
      </c>
      <c r="B13" s="258" t="s">
        <v>2349</v>
      </c>
      <c r="C13" s="254"/>
      <c r="D13" s="1032"/>
      <c r="E13" s="261"/>
      <c r="F13" s="261"/>
      <c r="G13" s="262"/>
    </row>
    <row r="14" spans="1:9" s="257" customFormat="1" ht="13.5" hidden="1" customHeight="1">
      <c r="A14" s="270" t="s">
        <v>10</v>
      </c>
      <c r="B14" s="258" t="s">
        <v>2350</v>
      </c>
      <c r="C14" s="254"/>
      <c r="D14" s="1032"/>
      <c r="E14" s="261"/>
      <c r="F14" s="261"/>
      <c r="G14" s="262" t="s">
        <v>2351</v>
      </c>
    </row>
    <row r="15" spans="1:9" s="257" customFormat="1" ht="13.5" hidden="1" customHeight="1">
      <c r="A15" s="270" t="s">
        <v>11</v>
      </c>
      <c r="B15" s="258" t="s">
        <v>2352</v>
      </c>
      <c r="C15" s="263"/>
      <c r="D15" s="1032"/>
      <c r="E15" s="261"/>
      <c r="F15" s="261"/>
      <c r="G15" s="262" t="s">
        <v>2353</v>
      </c>
    </row>
    <row r="16" spans="1:9" s="257" customFormat="1" ht="13.5" hidden="1" customHeight="1">
      <c r="A16" s="270" t="s">
        <v>12</v>
      </c>
      <c r="B16" s="258" t="s">
        <v>2350</v>
      </c>
      <c r="C16" s="263"/>
      <c r="D16" s="1032"/>
      <c r="E16" s="261"/>
      <c r="F16" s="261"/>
      <c r="G16" s="262"/>
    </row>
    <row r="17" spans="1:7" s="257" customFormat="1" ht="13.5" hidden="1" customHeight="1">
      <c r="A17" s="270" t="s">
        <v>13</v>
      </c>
      <c r="B17" s="258" t="s">
        <v>2354</v>
      </c>
      <c r="C17" s="272"/>
      <c r="D17" s="1033"/>
      <c r="E17" s="272"/>
      <c r="F17" s="272"/>
      <c r="G17" s="262" t="s">
        <v>2353</v>
      </c>
    </row>
    <row r="18" spans="1:7" s="257" customFormat="1" ht="13.5" hidden="1" customHeight="1">
      <c r="A18" s="270" t="s">
        <v>14</v>
      </c>
      <c r="B18" s="258" t="s">
        <v>2355</v>
      </c>
      <c r="C18" s="263">
        <v>0</v>
      </c>
      <c r="D18" s="1032"/>
      <c r="E18" s="261"/>
      <c r="F18" s="264">
        <v>3.0499999999999999E-2</v>
      </c>
      <c r="G18" s="262" t="s">
        <v>2356</v>
      </c>
    </row>
    <row r="19" spans="1:7" s="266" customFormat="1" ht="13.5" customHeight="1">
      <c r="A19" s="298" t="s">
        <v>2357</v>
      </c>
      <c r="B19" s="253" t="s">
        <v>2358</v>
      </c>
      <c r="C19" s="254" t="str">
        <f>IF(G19="已包含在土地取得成本中","0",ROUND(D19*E19/10000,0))</f>
        <v>0</v>
      </c>
      <c r="D19" s="1034">
        <f ca="1">D9+D10</f>
        <v>3774.75</v>
      </c>
      <c r="E19" s="254">
        <f>'数据-取费表'!B31</f>
        <v>200</v>
      </c>
      <c r="F19" s="274"/>
      <c r="G19" s="3015" t="s">
        <v>3192</v>
      </c>
    </row>
    <row r="20" spans="1:7" s="257" customFormat="1" ht="13.5" customHeight="1">
      <c r="A20" s="298" t="s">
        <v>2359</v>
      </c>
      <c r="B20" s="253" t="s">
        <v>2360</v>
      </c>
      <c r="C20" s="275">
        <f ca="1">ROUND((C5+C19)*F20,0)</f>
        <v>40</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2">
        <f ca="1">ROUND(SUM(C23:C25),0)</f>
        <v>131</v>
      </c>
      <c r="D22" s="278">
        <f ca="1">C26</f>
        <v>1.4E-3</v>
      </c>
      <c r="E22" s="279" t="s">
        <v>2364</v>
      </c>
      <c r="F22" s="280">
        <f ca="1">'数据-取费表'!B40</f>
        <v>4.7500000000000001E-2</v>
      </c>
      <c r="G22" s="277" t="str">
        <f>IF('数据-取费表'!B22&lt;=1,"单利计息","复利计息")</f>
        <v>复利计息</v>
      </c>
    </row>
    <row r="23" spans="1:7" s="257" customFormat="1" ht="13.5" customHeight="1">
      <c r="A23" s="949" t="s">
        <v>2368</v>
      </c>
      <c r="B23" s="258" t="s">
        <v>2369</v>
      </c>
      <c r="C23" s="1353">
        <f ca="1">ROUND(IF('数据-取费表'!B22&lt;=1,C5*F22*'数据-取费表'!B23,C5*(POWER((1+F22),'数据-取费表'!B23)-1)),0)</f>
        <v>129</v>
      </c>
      <c r="D23" s="281"/>
      <c r="E23" s="281"/>
      <c r="F23" s="282"/>
      <c r="G23" s="283" t="s">
        <v>2370</v>
      </c>
    </row>
    <row r="24" spans="1:7" s="257" customFormat="1" ht="13.5" customHeight="1">
      <c r="A24" s="949" t="s">
        <v>2371</v>
      </c>
      <c r="B24" s="258" t="s">
        <v>2372</v>
      </c>
      <c r="C24" s="1353">
        <f ca="1">ROUND(IF('数据-取费表'!B22&lt;=1,C19*F22*('数据-取费表'!B19/2+'数据-取费表'!B21),C19*(POWER((1+F22),('数据-取费表'!B19/2+'数据-取费表'!B21))-1)),0)</f>
        <v>0</v>
      </c>
      <c r="D24" s="281"/>
      <c r="E24" s="281"/>
      <c r="F24" s="282"/>
      <c r="G24" s="283" t="s">
        <v>2373</v>
      </c>
    </row>
    <row r="25" spans="1:7" s="257" customFormat="1" ht="24">
      <c r="A25" s="949" t="s">
        <v>2374</v>
      </c>
      <c r="B25" s="258" t="s">
        <v>2375</v>
      </c>
      <c r="C25" s="1353">
        <f ca="1">ROUND(IF('数据-取费表'!B22&lt;=1,C20*F22*'数据-取费表'!B23/2,C20*(POWER((1+F22),'数据-取费表'!B23/2)-1)),0)</f>
        <v>2</v>
      </c>
      <c r="D25" s="281"/>
      <c r="E25" s="284"/>
      <c r="F25" s="282"/>
      <c r="G25" s="285" t="s">
        <v>2376</v>
      </c>
    </row>
    <row r="26" spans="1:7" s="257" customFormat="1">
      <c r="A26" s="949" t="s">
        <v>795</v>
      </c>
      <c r="B26" s="258" t="s">
        <v>2377</v>
      </c>
      <c r="C26" s="281">
        <f ca="1">ROUND(IF('数据-取费表'!B22&lt;=1,F21*F22*'数据-取费表'!B23/2,F21*(POWER((1+F22),'数据-取费表'!B23/2)-1)),4)</f>
        <v>1.4E-3</v>
      </c>
      <c r="D26" s="281"/>
      <c r="E26" s="284"/>
      <c r="F26" s="282"/>
      <c r="G26" s="286"/>
    </row>
    <row r="27" spans="1:7" s="257" customFormat="1" ht="24.75">
      <c r="A27" s="298" t="s">
        <v>2378</v>
      </c>
      <c r="B27" s="287" t="s">
        <v>2379</v>
      </c>
      <c r="C27" s="288">
        <f ca="1">C28</f>
        <v>205</v>
      </c>
      <c r="D27" s="278">
        <f ca="1">C29</f>
        <v>4.4999999999999997E-3</v>
      </c>
      <c r="E27" s="279" t="s">
        <v>2380</v>
      </c>
      <c r="F27" s="289">
        <f ca="1">IF(B1="",'数据-取费表'!Q16,INDIRECT("'数据-取费表'!q"&amp;$G$1))</f>
        <v>0.15</v>
      </c>
      <c r="G27" s="290" t="s">
        <v>2381</v>
      </c>
    </row>
    <row r="28" spans="1:7" s="257" customFormat="1" ht="13.5" customHeight="1">
      <c r="A28" s="949" t="s">
        <v>791</v>
      </c>
      <c r="B28" s="291" t="s">
        <v>2382</v>
      </c>
      <c r="C28" s="292">
        <f ca="1">ROUND((C5+C19+C20)*F27*'数据-取费表'!B21/'数据-取费表'!B20,0)</f>
        <v>205</v>
      </c>
      <c r="D28" s="278"/>
      <c r="E28" s="279"/>
      <c r="F28" s="289"/>
      <c r="G28" s="290"/>
    </row>
    <row r="29" spans="1:7" s="257" customFormat="1" ht="13.5" customHeight="1">
      <c r="A29" s="949" t="s">
        <v>792</v>
      </c>
      <c r="B29" s="291" t="s">
        <v>2383</v>
      </c>
      <c r="C29" s="281">
        <f ca="1">ROUND(C21*F27*'数据-取费表'!B21/'数据-取费表'!B20,4)</f>
        <v>4.4999999999999997E-3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1866</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1061</v>
      </c>
      <c r="D33" s="275"/>
      <c r="E33" s="255"/>
      <c r="F33" s="284"/>
      <c r="G33" s="277"/>
    </row>
    <row r="34" spans="1:7" s="301" customFormat="1" ht="13.5" customHeight="1">
      <c r="A34" s="949" t="s">
        <v>791</v>
      </c>
      <c r="B34" s="258" t="s">
        <v>2391</v>
      </c>
      <c r="C34" s="263">
        <f ca="1">IF(B1="",IF(F34=100%,'数据-取费表'!M16,'数据-取费表'!O16),IF(F34=100%,INDIRECT("'数据-取费表'!m"&amp;$G$1)+INDIRECT("'数据-取费表'!t"&amp;$G$1),INDIRECT("'数据-取费表'!o"&amp;$G$1)+INDIRECT("'数据-取费表'!aq"&amp;$G$1)))</f>
        <v>944</v>
      </c>
      <c r="D34" s="260"/>
      <c r="E34" s="263"/>
      <c r="F34" s="300">
        <f ca="1">IF('数据-取费表'!B24=0,1,IF(B1="",'数据-取费表'!N16,INDIRECT("'数据-取费表'!n"&amp;$G$1)))</f>
        <v>1</v>
      </c>
      <c r="G34" s="262" t="s">
        <v>2392</v>
      </c>
    </row>
    <row r="35" spans="1:7" ht="13.5" customHeight="1">
      <c r="A35" s="949" t="s">
        <v>796</v>
      </c>
      <c r="B35" s="258" t="s">
        <v>2393</v>
      </c>
      <c r="C35" s="263">
        <f ca="1">ROUND(C34*F35,0)</f>
        <v>28</v>
      </c>
      <c r="D35" s="263"/>
      <c r="E35" s="263"/>
      <c r="F35" s="302">
        <f>'数据-取费表'!B33</f>
        <v>0.03</v>
      </c>
      <c r="G35" s="262" t="s">
        <v>2394</v>
      </c>
    </row>
    <row r="36" spans="1:7" ht="24">
      <c r="A36" s="949"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2396</v>
      </c>
    </row>
    <row r="37" spans="1:7" s="301" customFormat="1" ht="13.5" customHeight="1">
      <c r="A37" s="949" t="s">
        <v>798</v>
      </c>
      <c r="B37" s="258" t="s">
        <v>2397</v>
      </c>
      <c r="C37" s="292">
        <f ca="1">ROUND(E37*D37*F34/10000,0)</f>
        <v>75</v>
      </c>
      <c r="D37" s="260">
        <f ca="1">D19</f>
        <v>3774.75</v>
      </c>
      <c r="E37" s="292">
        <f>'数据-取费表'!B35</f>
        <v>200</v>
      </c>
      <c r="F37" s="302"/>
      <c r="G37" s="304" t="s">
        <v>2398</v>
      </c>
    </row>
    <row r="38" spans="1:7" ht="13.5" customHeight="1">
      <c r="A38" s="949" t="s">
        <v>799</v>
      </c>
      <c r="B38" s="258" t="s">
        <v>2399</v>
      </c>
      <c r="C38" s="263">
        <f ca="1">ROUND(C34*F38,0)</f>
        <v>14</v>
      </c>
      <c r="D38" s="263"/>
      <c r="E38" s="263"/>
      <c r="F38" s="302">
        <f>'数据-取费表'!B36</f>
        <v>1.4999999999999999E-2</v>
      </c>
      <c r="G38" s="262" t="s">
        <v>2394</v>
      </c>
    </row>
    <row r="39" spans="1:7" s="257" customFormat="1" ht="13.5" customHeight="1">
      <c r="A39" s="298" t="s">
        <v>2400</v>
      </c>
      <c r="B39" s="253" t="s">
        <v>2401</v>
      </c>
      <c r="C39" s="275">
        <f ca="1">ROUND(C33*F20,0)</f>
        <v>32</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52</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ROUND(IF('数据-取费表'!B22&lt;=1,C33*F22*'数据-取费表'!B21/2,C33*(POWER((1+F22),'数据-取费表'!B21/2)-1)),0)</f>
        <v>50</v>
      </c>
      <c r="D42" s="281"/>
      <c r="E42" s="281"/>
      <c r="F42" s="282"/>
      <c r="G42" s="3262" t="s">
        <v>2410</v>
      </c>
    </row>
    <row r="43" spans="1:7" ht="13.5" customHeight="1">
      <c r="A43" s="949" t="s">
        <v>792</v>
      </c>
      <c r="B43" s="258" t="s">
        <v>2411</v>
      </c>
      <c r="C43" s="281">
        <f ca="1">ROUND(IF('数据-取费表'!B22&lt;=1,C39*F22*'数据-取费表'!B21/2,C39*(POWER((1+F22),'数据-取费表'!B21/2)-1)),0)</f>
        <v>2</v>
      </c>
      <c r="D43" s="281"/>
      <c r="E43" s="281"/>
      <c r="F43" s="282"/>
      <c r="G43" s="3263"/>
    </row>
    <row r="44" spans="1:7" ht="13.5" customHeight="1">
      <c r="A44" s="949" t="s">
        <v>793</v>
      </c>
      <c r="B44" s="258" t="s">
        <v>2412</v>
      </c>
      <c r="C44" s="281">
        <f ca="1">ROUND(IF('数据-取费表'!B22&lt;=1,C40*F22*'数据-取费表'!B21/2,C40*(POWER((1+F22),'数据-取费表'!B21/2)-1)),4)</f>
        <v>1.4E-3</v>
      </c>
      <c r="D44" s="281"/>
      <c r="E44" s="281"/>
      <c r="F44" s="282"/>
      <c r="G44" s="3264"/>
    </row>
    <row r="45" spans="1:7" s="257" customFormat="1" ht="13.5" customHeight="1">
      <c r="A45" s="298" t="s">
        <v>2413</v>
      </c>
      <c r="B45" s="287" t="s">
        <v>2379</v>
      </c>
      <c r="C45" s="288">
        <f ca="1">C46</f>
        <v>164</v>
      </c>
      <c r="D45" s="278">
        <f ca="1">C47</f>
        <v>4.4999999999999997E-3</v>
      </c>
      <c r="E45" s="279" t="s">
        <v>2405</v>
      </c>
      <c r="F45" s="289"/>
      <c r="G45" s="290" t="s">
        <v>2414</v>
      </c>
    </row>
    <row r="46" spans="1:7" s="257" customFormat="1" ht="13.5" customHeight="1">
      <c r="A46" s="949" t="s">
        <v>791</v>
      </c>
      <c r="B46" s="291" t="s">
        <v>2415</v>
      </c>
      <c r="C46" s="292">
        <f ca="1">ROUND((C33+C39)*F27,0)</f>
        <v>164</v>
      </c>
      <c r="D46" s="306"/>
      <c r="E46" s="279"/>
      <c r="F46" s="289"/>
      <c r="G46" s="290"/>
    </row>
    <row r="47" spans="1:7" s="257" customFormat="1" ht="13.5" customHeight="1">
      <c r="A47" s="949" t="s">
        <v>792</v>
      </c>
      <c r="B47" s="291" t="s">
        <v>2416</v>
      </c>
      <c r="C47" s="281">
        <f ca="1">ROUND(C40*F27,4)</f>
        <v>4.4999999999999997E-3</v>
      </c>
      <c r="D47" s="306"/>
      <c r="E47" s="279"/>
      <c r="F47" s="289"/>
      <c r="G47" s="290"/>
    </row>
    <row r="48" spans="1:7" s="257" customFormat="1" ht="13.5" customHeight="1">
      <c r="A48" s="298" t="s">
        <v>2378</v>
      </c>
      <c r="B48" s="253" t="s">
        <v>2417</v>
      </c>
      <c r="C48" s="1726">
        <f>ROUND(F30/(1+'数据-取费表'!C42),4)</f>
        <v>5.33E-2</v>
      </c>
      <c r="D48" s="279" t="s">
        <v>2405</v>
      </c>
      <c r="E48" s="275"/>
      <c r="F48" s="280"/>
      <c r="G48" s="277" t="s">
        <v>2418</v>
      </c>
    </row>
    <row r="49" spans="1:7" ht="16.5" customHeight="1">
      <c r="A49" s="298" t="s">
        <v>2384</v>
      </c>
      <c r="B49" s="253" t="s">
        <v>2419</v>
      </c>
      <c r="C49" s="275">
        <f ca="1">ROUND((C33+C39+C41+C45)/(1-C40-D41-D45-C48),0)</f>
        <v>1437</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1365</v>
      </c>
      <c r="D51" s="275"/>
      <c r="E51" s="275"/>
      <c r="F51" s="307"/>
      <c r="G51" s="277" t="s">
        <v>2426</v>
      </c>
    </row>
    <row r="52" spans="1:7" s="251" customFormat="1" ht="16.5" thickBot="1">
      <c r="A52" s="308" t="s">
        <v>2427</v>
      </c>
      <c r="B52" s="309"/>
      <c r="C52" s="310">
        <f ca="1">C31+C51</f>
        <v>3231</v>
      </c>
      <c r="D52" s="309"/>
      <c r="E52" s="309"/>
      <c r="F52" s="309"/>
      <c r="G52" s="311"/>
    </row>
    <row r="55" spans="1:7" ht="15">
      <c r="B55" s="313" t="s">
        <v>2428</v>
      </c>
      <c r="C55" s="314"/>
    </row>
    <row r="56" spans="1:7">
      <c r="B56" s="316" t="s">
        <v>1513</v>
      </c>
      <c r="C56" s="318">
        <f ca="1">1-C57</f>
        <v>0.57800000000000007</v>
      </c>
    </row>
    <row r="57" spans="1:7">
      <c r="B57" s="316" t="s">
        <v>1514</v>
      </c>
      <c r="C57" s="317">
        <f ca="1">ROUND(C51/C52,3)</f>
        <v>0.42199999999999999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1" t="s">
        <v>2429</v>
      </c>
      <c r="D1" s="241"/>
      <c r="E1" s="241"/>
      <c r="F1" s="241"/>
      <c r="G1" s="1377">
        <f>MATCH(B1,'数据-取费表'!A6:A16,0)+5</f>
        <v>9</v>
      </c>
      <c r="H1" s="1280" t="str">
        <f>IF(ISERROR(FIND("住宅",B1)),"非住宅","住宅")</f>
        <v>非住宅</v>
      </c>
    </row>
    <row r="2" spans="1:8" s="243" customFormat="1" ht="18" customHeight="1">
      <c r="A2" s="244" t="s">
        <v>2328</v>
      </c>
      <c r="B2" s="245">
        <f ca="1">ROUND(IF(D2="——",C52/10000,C52/10000-E2),0)</f>
        <v>18219</v>
      </c>
      <c r="C2" s="242" t="s">
        <v>2329</v>
      </c>
      <c r="D2" s="2545" t="s">
        <v>70</v>
      </c>
      <c r="E2" s="1438" t="e">
        <f ca="1">SUMIF(INDIRECT("'"&amp;G2&amp;"'"&amp;"!A:A"),"承租人权益价值",INDIRECT("'"&amp;G2&amp;"'"&amp;"!c:c"))</f>
        <v>#REF!</v>
      </c>
      <c r="F2" s="2546" t="s">
        <v>2329</v>
      </c>
      <c r="G2" s="2547"/>
    </row>
    <row r="3" spans="1:8" s="243" customFormat="1" ht="18" customHeight="1" thickBot="1">
      <c r="A3" s="246" t="s">
        <v>2330</v>
      </c>
      <c r="B3" s="247">
        <f ca="1">ROUND(B2*10000/(IF(B1="",'数据-汇总表'!E3,INDIRECT("'数据-取费表'!k"&amp;$G$1))),0)</f>
        <v>5357</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6801500</v>
      </c>
      <c r="D5" s="254" t="s">
        <v>2335</v>
      </c>
      <c r="E5" s="255" t="s">
        <v>2336</v>
      </c>
      <c r="F5" s="255" t="s">
        <v>2337</v>
      </c>
      <c r="G5" s="256"/>
    </row>
    <row r="6" spans="1:8" s="257" customFormat="1" ht="13.5" customHeight="1">
      <c r="A6" s="947" t="s">
        <v>2338</v>
      </c>
      <c r="B6" s="258" t="s">
        <v>2339</v>
      </c>
      <c r="C6" s="259"/>
      <c r="D6" s="260"/>
      <c r="E6" s="261"/>
      <c r="F6" s="261"/>
      <c r="G6" s="262"/>
    </row>
    <row r="7" spans="1:8" s="257" customFormat="1" ht="13.5" customHeight="1">
      <c r="A7" s="947" t="s">
        <v>2340</v>
      </c>
      <c r="B7" s="258" t="s">
        <v>2341</v>
      </c>
      <c r="C7" s="263">
        <f>ROUND(C6*F7,0)</f>
        <v>0</v>
      </c>
      <c r="D7" s="263"/>
      <c r="E7" s="261"/>
      <c r="F7" s="264">
        <f>'数据-取费表'!B48+'数据-取费表'!B49</f>
        <v>3.0499999999999999E-2</v>
      </c>
      <c r="G7" s="262"/>
    </row>
    <row r="8" spans="1:8" s="266" customFormat="1">
      <c r="A8" s="947" t="s">
        <v>2342</v>
      </c>
      <c r="B8" s="258" t="s">
        <v>2343</v>
      </c>
      <c r="C8" s="263">
        <f ca="1">IF(G8="已包含在土地购买价格中",0,C9+C10)</f>
        <v>6801500</v>
      </c>
      <c r="D8" s="265"/>
      <c r="E8" s="263"/>
      <c r="F8" s="264"/>
      <c r="G8" s="2548"/>
    </row>
    <row r="9" spans="1:8" s="257" customFormat="1" ht="13.5" customHeight="1">
      <c r="A9" s="948" t="s">
        <v>800</v>
      </c>
      <c r="B9" s="267" t="s">
        <v>2344</v>
      </c>
      <c r="C9" s="268">
        <f ca="1">ROUND(D9*E9,0)</f>
        <v>0</v>
      </c>
      <c r="D9" s="1030">
        <f ca="1">IF(B1="",'数据-汇总表'!E5,IF(INDIRECT("'数据-取费表'!c"&amp;$G$1)="住宅",INDIRECT("'数据-取费表'!k"&amp;$G$1),0))</f>
        <v>0</v>
      </c>
      <c r="E9" s="268">
        <f>'数据-取费表'!B27</f>
        <v>160</v>
      </c>
      <c r="F9" s="264"/>
      <c r="G9" s="269"/>
    </row>
    <row r="10" spans="1:8" s="257" customFormat="1" ht="13.5" customHeight="1">
      <c r="A10" s="948" t="s">
        <v>801</v>
      </c>
      <c r="B10" s="267" t="s">
        <v>2346</v>
      </c>
      <c r="C10" s="268">
        <f ca="1">ROUND(D10*E10,0)</f>
        <v>6801500</v>
      </c>
      <c r="D10" s="1030">
        <f ca="1">IF(B1="",'数据-汇总表'!E6,IF(INDIRECT("'数据-取费表'!c"&amp;$G$1)="住宅",INDIRECT("'数据-取费表'!s"&amp;$G$1),INDIRECT("'数据-取费表'!k"&amp;$G$1)+INDIRECT("'数据-取费表'!s"&amp;$G$1)))</f>
        <v>34007.5</v>
      </c>
      <c r="E10" s="268">
        <f>'数据-取费表'!B28</f>
        <v>200</v>
      </c>
      <c r="F10" s="264"/>
      <c r="G10" s="269"/>
    </row>
    <row r="11" spans="1:8" s="257" customFormat="1" ht="13.5" hidden="1" customHeight="1">
      <c r="A11" s="270" t="s">
        <v>7</v>
      </c>
      <c r="B11" s="258" t="s">
        <v>2347</v>
      </c>
      <c r="C11" s="254"/>
      <c r="D11" s="1032"/>
      <c r="E11" s="261"/>
      <c r="F11" s="261"/>
      <c r="G11" s="262"/>
    </row>
    <row r="12" spans="1:8" s="257" customFormat="1" ht="13.5" hidden="1" customHeight="1">
      <c r="A12" s="270" t="s">
        <v>8</v>
      </c>
      <c r="B12" s="258" t="s">
        <v>2430</v>
      </c>
      <c r="C12" s="254">
        <v>0</v>
      </c>
      <c r="D12" s="1032"/>
      <c r="E12" s="271"/>
      <c r="F12" s="264">
        <v>3.0499999999999999E-2</v>
      </c>
      <c r="G12" s="262"/>
    </row>
    <row r="13" spans="1:8" s="257" customFormat="1" ht="13.5" hidden="1" customHeight="1">
      <c r="A13" s="270" t="s">
        <v>9</v>
      </c>
      <c r="B13" s="258" t="s">
        <v>2431</v>
      </c>
      <c r="C13" s="254"/>
      <c r="D13" s="1032"/>
      <c r="E13" s="261"/>
      <c r="F13" s="261"/>
      <c r="G13" s="262"/>
    </row>
    <row r="14" spans="1:8" s="257" customFormat="1" ht="13.5" hidden="1" customHeight="1">
      <c r="A14" s="270" t="s">
        <v>10</v>
      </c>
      <c r="B14" s="258" t="s">
        <v>2343</v>
      </c>
      <c r="C14" s="254"/>
      <c r="D14" s="1032"/>
      <c r="E14" s="261"/>
      <c r="F14" s="261"/>
      <c r="G14" s="262" t="s">
        <v>2432</v>
      </c>
    </row>
    <row r="15" spans="1:8" s="257" customFormat="1" ht="13.5" hidden="1" customHeight="1">
      <c r="A15" s="270" t="s">
        <v>11</v>
      </c>
      <c r="B15" s="258" t="s">
        <v>2433</v>
      </c>
      <c r="C15" s="263"/>
      <c r="D15" s="1032"/>
      <c r="E15" s="261"/>
      <c r="F15" s="261"/>
      <c r="G15" s="262" t="s">
        <v>2434</v>
      </c>
    </row>
    <row r="16" spans="1:8" s="257" customFormat="1" ht="13.5" hidden="1" customHeight="1">
      <c r="A16" s="270" t="s">
        <v>12</v>
      </c>
      <c r="B16" s="258" t="s">
        <v>2343</v>
      </c>
      <c r="C16" s="263"/>
      <c r="D16" s="1032"/>
      <c r="E16" s="261"/>
      <c r="F16" s="261"/>
      <c r="G16" s="262"/>
    </row>
    <row r="17" spans="1:7" s="257" customFormat="1" ht="13.5" hidden="1" customHeight="1">
      <c r="A17" s="270" t="s">
        <v>13</v>
      </c>
      <c r="B17" s="258" t="s">
        <v>2435</v>
      </c>
      <c r="C17" s="272"/>
      <c r="D17" s="1033"/>
      <c r="E17" s="272"/>
      <c r="F17" s="272"/>
      <c r="G17" s="262" t="s">
        <v>2434</v>
      </c>
    </row>
    <row r="18" spans="1:7" s="257" customFormat="1" ht="13.5" hidden="1" customHeight="1">
      <c r="A18" s="270" t="s">
        <v>14</v>
      </c>
      <c r="B18" s="258" t="s">
        <v>2436</v>
      </c>
      <c r="C18" s="263">
        <v>0</v>
      </c>
      <c r="D18" s="1032"/>
      <c r="E18" s="261"/>
      <c r="F18" s="264">
        <v>3.0499999999999999E-2</v>
      </c>
      <c r="G18" s="262" t="s">
        <v>2437</v>
      </c>
    </row>
    <row r="19" spans="1:7" s="266" customFormat="1" ht="13.5" customHeight="1">
      <c r="A19" s="298" t="s">
        <v>2438</v>
      </c>
      <c r="B19" s="253" t="s">
        <v>2439</v>
      </c>
      <c r="C19" s="254">
        <f ca="1">IF(G19="已包含在土地取得成本中","0",ROUND(D19*E19,0))</f>
        <v>6801500</v>
      </c>
      <c r="D19" s="1034">
        <f ca="1">D9+D10</f>
        <v>34007.5</v>
      </c>
      <c r="E19" s="254">
        <f>'数据-取费表'!B31</f>
        <v>200</v>
      </c>
      <c r="F19" s="274"/>
      <c r="G19" s="2548"/>
    </row>
    <row r="20" spans="1:7" s="257" customFormat="1" ht="13.5" customHeight="1">
      <c r="A20" s="298" t="s">
        <v>2440</v>
      </c>
      <c r="B20" s="253" t="s">
        <v>2441</v>
      </c>
      <c r="C20" s="275">
        <f ca="1">ROUND((C5+C19)*F20,0)</f>
        <v>408090</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78">
        <f ca="1">ROUND(SUM(C23:C25),0)</f>
        <v>1342360</v>
      </c>
      <c r="D22" s="278">
        <f ca="1">C26</f>
        <v>1.4E-3</v>
      </c>
      <c r="E22" s="279" t="s">
        <v>2445</v>
      </c>
      <c r="F22" s="280">
        <f ca="1">'数据-取费表'!B40</f>
        <v>4.7500000000000001E-2</v>
      </c>
      <c r="G22" s="277" t="str">
        <f>IF('数据-取费表'!B22&lt;=1,"单利计息","复利计息")</f>
        <v>复利计息</v>
      </c>
    </row>
    <row r="23" spans="1:7" s="257" customFormat="1" ht="13.5" customHeight="1">
      <c r="A23" s="949" t="s">
        <v>2338</v>
      </c>
      <c r="B23" s="258" t="s">
        <v>2449</v>
      </c>
      <c r="C23" s="1379">
        <f ca="1">ROUND(IF('数据-取费表'!B22&lt;=1,C5*F22*'数据-取费表'!B22,C5*(POWER((1+F22),'数据-取费表'!B22)-1)),0)</f>
        <v>661488</v>
      </c>
      <c r="D23" s="281"/>
      <c r="E23" s="281"/>
      <c r="F23" s="282"/>
      <c r="G23" s="283" t="s">
        <v>2450</v>
      </c>
    </row>
    <row r="24" spans="1:7" s="257" customFormat="1" ht="13.5" customHeight="1">
      <c r="A24" s="949" t="s">
        <v>2340</v>
      </c>
      <c r="B24" s="258" t="s">
        <v>2451</v>
      </c>
      <c r="C24" s="1379">
        <f ca="1">ROUND(IF('数据-取费表'!B22&lt;=1,C19*F22*('数据-取费表'!B19/2+'数据-取费表'!B20),C19*(POWER((1+F22),('数据-取费表'!B19/2+'数据-取费表'!B20))-1)),0)</f>
        <v>661488</v>
      </c>
      <c r="D24" s="281"/>
      <c r="E24" s="281"/>
      <c r="F24" s="282"/>
      <c r="G24" s="283" t="s">
        <v>2452</v>
      </c>
    </row>
    <row r="25" spans="1:7" s="257" customFormat="1" ht="24">
      <c r="A25" s="949" t="s">
        <v>2342</v>
      </c>
      <c r="B25" s="258" t="s">
        <v>2453</v>
      </c>
      <c r="C25" s="1379">
        <f ca="1">ROUND(IF('数据-取费表'!B22&lt;=1,C20*F22*'数据-取费表'!B22/2,C20*(POWER((1+F22),'数据-取费表'!B22/2)-1)),0)</f>
        <v>19384</v>
      </c>
      <c r="D25" s="281"/>
      <c r="E25" s="284"/>
      <c r="F25" s="282"/>
      <c r="G25" s="285" t="s">
        <v>2454</v>
      </c>
    </row>
    <row r="26" spans="1:7" s="257" customFormat="1">
      <c r="A26" s="949" t="s">
        <v>795</v>
      </c>
      <c r="B26" s="258" t="s">
        <v>2377</v>
      </c>
      <c r="C26" s="281">
        <f ca="1">ROUND(IF('数据-取费表'!B22&lt;=1,F21*F22*'数据-取费表'!B22/2,F21*(POWER((1+F22),'数据-取费表'!B22/2)-1)),4)</f>
        <v>1.4E-3</v>
      </c>
      <c r="D26" s="281"/>
      <c r="E26" s="284"/>
      <c r="F26" s="282"/>
      <c r="G26" s="286"/>
    </row>
    <row r="27" spans="1:7" s="257" customFormat="1" ht="24.75">
      <c r="A27" s="298" t="s">
        <v>2378</v>
      </c>
      <c r="B27" s="287" t="s">
        <v>2379</v>
      </c>
      <c r="C27" s="288">
        <f ca="1">C28</f>
        <v>3362662</v>
      </c>
      <c r="D27" s="278">
        <f ca="1">C29</f>
        <v>7.1999999999999998E-3</v>
      </c>
      <c r="E27" s="279" t="s">
        <v>2380</v>
      </c>
      <c r="F27" s="289">
        <f ca="1">IF(B1="",'数据-取费表'!Q16,INDIRECT("'数据-取费表'!q"&amp;$G$1))</f>
        <v>0.24</v>
      </c>
      <c r="G27" s="290" t="s">
        <v>2381</v>
      </c>
    </row>
    <row r="28" spans="1:7" s="257" customFormat="1" ht="13.5" customHeight="1">
      <c r="A28" s="949" t="s">
        <v>791</v>
      </c>
      <c r="B28" s="291" t="s">
        <v>2382</v>
      </c>
      <c r="C28" s="292">
        <f ca="1">ROUND((C5+C19+C20)*F27,0)</f>
        <v>3362662</v>
      </c>
      <c r="D28" s="278"/>
      <c r="E28" s="279"/>
      <c r="F28" s="289"/>
      <c r="G28" s="290"/>
    </row>
    <row r="29" spans="1:7" s="257" customFormat="1" ht="13.5" customHeight="1">
      <c r="A29" s="949" t="s">
        <v>792</v>
      </c>
      <c r="B29" s="291" t="s">
        <v>2383</v>
      </c>
      <c r="C29" s="281">
        <f ca="1">ROUND(C21*F27,4)</f>
        <v>7.1999999999999998E-3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20610188</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116469659</v>
      </c>
      <c r="D33" s="275"/>
      <c r="E33" s="255"/>
      <c r="F33" s="284"/>
      <c r="G33" s="277"/>
    </row>
    <row r="34" spans="1:7" s="301" customFormat="1" ht="13.5" customHeight="1">
      <c r="A34" s="949" t="s">
        <v>791</v>
      </c>
      <c r="B34" s="258" t="s">
        <v>2391</v>
      </c>
      <c r="C34" s="263">
        <f ca="1">ROUND(IF(B1="",SUMPRODUCT('数据-取费表'!K6:K14,'数据-取费表'!L6:L14),INDIRECT("'数据-取费表'!l"&amp;$G$1)*INDIRECT("'数据-取费表'!k"&amp;$G$1)+'数据-取费表'!L14*INDIRECT("'数据-取费表'!S"&amp;$G$1)),0)</f>
        <v>104945607</v>
      </c>
      <c r="D34" s="260"/>
      <c r="E34" s="263"/>
      <c r="F34" s="300"/>
      <c r="G34" s="262"/>
    </row>
    <row r="35" spans="1:7" ht="13.5" customHeight="1">
      <c r="A35" s="949" t="s">
        <v>796</v>
      </c>
      <c r="B35" s="258" t="s">
        <v>2393</v>
      </c>
      <c r="C35" s="263">
        <f ca="1">ROUND(C34*F35,0)</f>
        <v>3148368</v>
      </c>
      <c r="D35" s="263"/>
      <c r="E35" s="263"/>
      <c r="F35" s="302">
        <f>'数据-取费表'!B33</f>
        <v>0.03</v>
      </c>
      <c r="G35" s="262" t="s">
        <v>2394</v>
      </c>
    </row>
    <row r="36" spans="1:7" ht="24">
      <c r="A36" s="949" t="s">
        <v>797</v>
      </c>
      <c r="B36" s="258" t="s">
        <v>2395</v>
      </c>
      <c r="C36" s="263">
        <f ca="1">ROUND(IF(B1="",SUM('数据-取费表'!AP6:AP13)*F36,IF(INDIRECT("'数据-取费表'!c"&amp;$G$1)="住宅",INDIRECT("'数据-取费表'!k"&amp;$G$1)*INDIRECT("'数据-取费表'!l"&amp;$G$1)*F36,0)),0)</f>
        <v>0</v>
      </c>
      <c r="D36" s="263"/>
      <c r="E36" s="263"/>
      <c r="F36" s="302">
        <f>'数据-取费表'!B34</f>
        <v>0.03</v>
      </c>
      <c r="G36" s="303" t="s">
        <v>2396</v>
      </c>
    </row>
    <row r="37" spans="1:7" s="301" customFormat="1" ht="13.5" customHeight="1">
      <c r="A37" s="949" t="s">
        <v>798</v>
      </c>
      <c r="B37" s="258" t="s">
        <v>2397</v>
      </c>
      <c r="C37" s="292">
        <f ca="1">ROUND(E37*D37,0)</f>
        <v>6801500</v>
      </c>
      <c r="D37" s="260">
        <f ca="1">D19</f>
        <v>34007.5</v>
      </c>
      <c r="E37" s="292">
        <f>'数据-取费表'!B35</f>
        <v>200</v>
      </c>
      <c r="F37" s="302"/>
      <c r="G37" s="304"/>
    </row>
    <row r="38" spans="1:7" ht="13.5" customHeight="1">
      <c r="A38" s="949" t="s">
        <v>799</v>
      </c>
      <c r="B38" s="258" t="s">
        <v>2399</v>
      </c>
      <c r="C38" s="263">
        <f ca="1">ROUND(C34*F38,0)</f>
        <v>1574184</v>
      </c>
      <c r="D38" s="263"/>
      <c r="E38" s="263"/>
      <c r="F38" s="302">
        <f>'数据-取费表'!B36</f>
        <v>1.4999999999999999E-2</v>
      </c>
      <c r="G38" s="262" t="s">
        <v>2394</v>
      </c>
    </row>
    <row r="39" spans="1:7" s="257" customFormat="1" ht="13.5" customHeight="1">
      <c r="A39" s="298" t="s">
        <v>2400</v>
      </c>
      <c r="B39" s="253" t="s">
        <v>2401</v>
      </c>
      <c r="C39" s="275">
        <f ca="1">ROUND(C33*F20,0)</f>
        <v>3494090</v>
      </c>
      <c r="D39" s="275"/>
      <c r="E39" s="275"/>
      <c r="F39" s="276"/>
      <c r="G39" s="277" t="s">
        <v>2402</v>
      </c>
    </row>
    <row r="40" spans="1:7" s="257" customFormat="1" ht="13.5" customHeight="1">
      <c r="A40" s="298" t="s">
        <v>2403</v>
      </c>
      <c r="B40" s="253" t="s">
        <v>2404</v>
      </c>
      <c r="C40" s="1726">
        <f>F21</f>
        <v>0.03</v>
      </c>
      <c r="D40" s="279" t="s">
        <v>2405</v>
      </c>
      <c r="E40" s="275"/>
      <c r="F40" s="276"/>
      <c r="G40" s="277" t="s">
        <v>2406</v>
      </c>
    </row>
    <row r="41" spans="1:7" s="257" customFormat="1" ht="13.5" customHeight="1">
      <c r="A41" s="298" t="s">
        <v>2407</v>
      </c>
      <c r="B41" s="253" t="s">
        <v>2408</v>
      </c>
      <c r="C41" s="275">
        <f ca="1">ROUND(SUM(C42:C43),0)</f>
        <v>5698278</v>
      </c>
      <c r="D41" s="278">
        <f ca="1">C44</f>
        <v>1.4E-3</v>
      </c>
      <c r="E41" s="279" t="s">
        <v>2405</v>
      </c>
      <c r="F41" s="280"/>
      <c r="G41" s="277" t="str">
        <f>IF('数据-取费表'!B22&lt;=1,"单利计息","复利计息")</f>
        <v>复利计息</v>
      </c>
    </row>
    <row r="42" spans="1:7" ht="13.5" customHeight="1">
      <c r="A42" s="949" t="s">
        <v>791</v>
      </c>
      <c r="B42" s="258" t="s">
        <v>2409</v>
      </c>
      <c r="C42" s="281">
        <f ca="1">ROUND(IF('数据-取费表'!B22&lt;=1,C33*F22*'数据-取费表'!B20/2,C33*(POWER((1+F22),'数据-取费表'!B20/2)-1)),0)</f>
        <v>5532309</v>
      </c>
      <c r="D42" s="281"/>
      <c r="E42" s="281"/>
      <c r="F42" s="282"/>
      <c r="G42" s="3262" t="s">
        <v>2457</v>
      </c>
    </row>
    <row r="43" spans="1:7" ht="13.5" customHeight="1">
      <c r="A43" s="949" t="s">
        <v>792</v>
      </c>
      <c r="B43" s="258" t="s">
        <v>2411</v>
      </c>
      <c r="C43" s="281">
        <f ca="1">ROUND(IF('数据-取费表'!B22&lt;=1,C39*F22*'数据-取费表'!B20/2,C39*(POWER((1+F22),'数据-取费表'!B20/2)-1)),0)</f>
        <v>165969</v>
      </c>
      <c r="D43" s="281"/>
      <c r="E43" s="281"/>
      <c r="F43" s="282"/>
      <c r="G43" s="3263"/>
    </row>
    <row r="44" spans="1:7" ht="13.5" customHeight="1">
      <c r="A44" s="949" t="s">
        <v>793</v>
      </c>
      <c r="B44" s="258" t="s">
        <v>2412</v>
      </c>
      <c r="C44" s="281">
        <f ca="1">ROUND(IF('数据-取费表'!B22&lt;=1,C40*F22*'数据-取费表'!B20/2,C40*(POWER((1+F22),'数据-取费表'!B20/2)-1)),4)</f>
        <v>1.4E-3</v>
      </c>
      <c r="D44" s="281"/>
      <c r="E44" s="281"/>
      <c r="F44" s="282"/>
      <c r="G44" s="3264"/>
    </row>
    <row r="45" spans="1:7" s="257" customFormat="1" ht="13.5" customHeight="1">
      <c r="A45" s="298" t="s">
        <v>2413</v>
      </c>
      <c r="B45" s="287" t="s">
        <v>2379</v>
      </c>
      <c r="C45" s="288">
        <f ca="1">C46</f>
        <v>28791300</v>
      </c>
      <c r="D45" s="278">
        <f ca="1">C47</f>
        <v>7.1999999999999998E-3</v>
      </c>
      <c r="E45" s="279" t="s">
        <v>2405</v>
      </c>
      <c r="F45" s="289"/>
      <c r="G45" s="290" t="s">
        <v>2414</v>
      </c>
    </row>
    <row r="46" spans="1:7" s="257" customFormat="1" ht="13.5" customHeight="1">
      <c r="A46" s="949" t="s">
        <v>791</v>
      </c>
      <c r="B46" s="291" t="s">
        <v>2415</v>
      </c>
      <c r="C46" s="292">
        <f ca="1">ROUND((C33+C39)*F27,0)</f>
        <v>28791300</v>
      </c>
      <c r="D46" s="306"/>
      <c r="E46" s="279"/>
      <c r="F46" s="289"/>
      <c r="G46" s="290"/>
    </row>
    <row r="47" spans="1:7" s="257" customFormat="1" ht="13.5" customHeight="1">
      <c r="A47" s="949" t="s">
        <v>792</v>
      </c>
      <c r="B47" s="291" t="s">
        <v>2416</v>
      </c>
      <c r="C47" s="281">
        <f ca="1">ROUND(C40*F27,4)</f>
        <v>7.1999999999999998E-3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170084051</v>
      </c>
      <c r="D49" s="275"/>
      <c r="E49" s="275"/>
      <c r="F49" s="307"/>
      <c r="G49" s="277" t="s">
        <v>2420</v>
      </c>
    </row>
    <row r="50" spans="1:7" s="301" customFormat="1">
      <c r="A50" s="298" t="s">
        <v>2421</v>
      </c>
      <c r="B50" s="253" t="s">
        <v>2422</v>
      </c>
      <c r="C50" s="275"/>
      <c r="D50" s="275"/>
      <c r="E50" s="275"/>
      <c r="F50" s="307">
        <f>IF('数据-取费表'!B24=0,'数据-取费表'!N16,1)</f>
        <v>0.95</v>
      </c>
      <c r="G50" s="290"/>
    </row>
    <row r="51" spans="1:7" ht="16.5" customHeight="1">
      <c r="A51" s="298" t="s">
        <v>2424</v>
      </c>
      <c r="B51" s="253" t="s">
        <v>2459</v>
      </c>
      <c r="C51" s="275">
        <f ca="1">ROUND(C49*F50,0)</f>
        <v>161579848</v>
      </c>
      <c r="D51" s="275"/>
      <c r="E51" s="275"/>
      <c r="F51" s="307"/>
      <c r="G51" s="277" t="s">
        <v>2426</v>
      </c>
    </row>
    <row r="52" spans="1:7" s="251" customFormat="1" ht="16.5" thickBot="1">
      <c r="A52" s="308" t="s">
        <v>2427</v>
      </c>
      <c r="B52" s="309"/>
      <c r="C52" s="310">
        <f ca="1">C31+C51</f>
        <v>182190036</v>
      </c>
      <c r="D52" s="309"/>
      <c r="E52" s="309"/>
      <c r="F52" s="309"/>
      <c r="G52" s="311"/>
    </row>
    <row r="55" spans="1:7" ht="15">
      <c r="B55" s="313" t="s">
        <v>2428</v>
      </c>
      <c r="C55" s="314"/>
    </row>
    <row r="56" spans="1:7">
      <c r="B56" s="316" t="s">
        <v>1513</v>
      </c>
      <c r="C56" s="318">
        <f ca="1">1-C57</f>
        <v>0.11299999999999999</v>
      </c>
    </row>
    <row r="57" spans="1:7">
      <c r="B57" s="316" t="s">
        <v>1514</v>
      </c>
      <c r="C57" s="317">
        <f ca="1">ROUND(C51/C52,3)</f>
        <v>0.88700000000000001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北京杰伟科技发展有限公司：</v>
      </c>
    </row>
    <row r="4" spans="1:1" ht="18">
      <c r="A4" s="1946" t="str">
        <f>"受贵公司委托，我公司对"&amp;项目基本情况!S1&amp;"进行了预评估。"</f>
        <v>受贵公司委托，我公司对北京市房地产市场价值进行了预评估。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949" t="s">
        <v>1614</v>
      </c>
    </row>
    <row r="9" spans="1:1" ht="18.75">
      <c r="A9" s="1948" t="s">
        <v>1615</v>
      </c>
    </row>
    <row r="10" spans="1:1" ht="54">
      <c r="A10" s="1946"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估价对象为北京市房地产,属开发建设的办公项目，该项目尚在开发建设中。根据《国有土地使用证》[]，估价对象（分摊）出让国有建设用地使用权面积为15019.6平方米，规划建筑面积为34007.5平方米。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1618</v>
      </c>
    </row>
    <row r="15" spans="1:1" ht="18">
      <c r="A15" s="1952" t="str">
        <f>TEXT(项目基本情况!D3,"yyyy年m月d日;;")&amp;IF(项目基本情况!D3=项目基本情况!B3,"（评估专业人员实地查勘之日）","")</f>
        <v>2018年5月16日（评估专业人员实地查勘之日）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1609</v>
      </c>
    </row>
    <row r="24" spans="1:1" ht="18">
      <c r="A24" s="1953" t="str">
        <f>"本次评估采用的主估价方法为"&amp;结果表仓储!K4&amp;"和"&amp;结果表仓储!L4&amp;"。"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2460</v>
      </c>
      <c r="B1" s="1579"/>
      <c r="C1" s="1580"/>
      <c r="D1" s="1578"/>
      <c r="E1" s="319"/>
      <c r="F1" s="319"/>
      <c r="G1" s="1579"/>
      <c r="H1" s="319"/>
      <c r="I1" s="319"/>
      <c r="J1" s="319"/>
      <c r="K1" s="319">
        <f>MATCH(C1,'数据-取费表'!A6:A16,0)+5</f>
        <v>9</v>
      </c>
    </row>
    <row r="2" spans="1:33" ht="18" customHeight="1">
      <c r="A2" s="244" t="s">
        <v>2328</v>
      </c>
      <c r="B2" s="247">
        <f ca="1">C32</f>
        <v>-844</v>
      </c>
      <c r="C2" s="319" t="s">
        <v>2461</v>
      </c>
      <c r="D2" s="319"/>
      <c r="E2" s="319"/>
      <c r="F2" s="319"/>
      <c r="G2" s="319"/>
      <c r="H2" s="319"/>
      <c r="I2" s="319"/>
      <c r="J2" s="319"/>
      <c r="K2" s="319"/>
    </row>
    <row r="3" spans="1:33" ht="18" customHeight="1" thickBot="1">
      <c r="A3" s="246" t="s">
        <v>2330</v>
      </c>
      <c r="B3" s="247">
        <f ca="1">ROUND(B2*10000/IF(C1="",'数据-汇总表'!E3,INDIRECT("'数据-取费表'!K"&amp;$K$1)),0)</f>
        <v>-248</v>
      </c>
      <c r="C3" s="319" t="s">
        <v>2462</v>
      </c>
      <c r="D3" s="319"/>
      <c r="E3" s="319"/>
      <c r="F3" s="319"/>
      <c r="G3" s="319"/>
      <c r="H3" s="319"/>
      <c r="I3" s="319"/>
      <c r="J3" s="319"/>
      <c r="K3" s="319"/>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2" t="s">
        <v>2466</v>
      </c>
      <c r="D5" s="2552" t="s">
        <v>2467</v>
      </c>
      <c r="E5" s="2552" t="s">
        <v>2468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2472</v>
      </c>
      <c r="B8" s="176"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1334</v>
      </c>
      <c r="B11" s="970" t="s">
        <v>2481</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2482</v>
      </c>
      <c r="C12" s="23">
        <f ca="1">ROUND(C11*F12,0)</f>
        <v>0</v>
      </c>
      <c r="D12" s="971"/>
      <c r="E12" s="374"/>
      <c r="F12" s="974">
        <f>'数据-取费表'!B33</f>
        <v>0.03</v>
      </c>
      <c r="G12" s="8" t="s">
        <v>2483</v>
      </c>
      <c r="H12" s="966"/>
      <c r="I12" s="966"/>
      <c r="J12" s="966"/>
      <c r="K12" s="967"/>
    </row>
    <row r="13" spans="1:33" s="973" customFormat="1" ht="13.5" customHeight="1">
      <c r="A13" s="969" t="s">
        <v>1336</v>
      </c>
      <c r="B13" s="970" t="s">
        <v>2484</v>
      </c>
      <c r="C13" s="23">
        <f ca="1">ROUND(IF(C1="",SUMIF('数据-取费表'!C:C,"住宅",'数据-取费表'!P:P)*F13,IF(INDIRECT("'数据-取费表'!c"&amp;$K$1)="住宅",INDIRECT("'数据-取费表'!P"&amp;$K$1)*F13,0)),0)</f>
        <v>0</v>
      </c>
      <c r="D13" s="1031"/>
      <c r="E13" s="374"/>
      <c r="F13" s="974">
        <f>'数据-取费表'!B34</f>
        <v>0.03</v>
      </c>
      <c r="G13" s="8" t="s">
        <v>2485</v>
      </c>
      <c r="H13" s="966"/>
      <c r="I13" s="966"/>
      <c r="J13" s="966"/>
      <c r="K13" s="967"/>
    </row>
    <row r="14" spans="1:33" s="975" customFormat="1" ht="13.5" customHeight="1">
      <c r="A14" s="969" t="s">
        <v>1337</v>
      </c>
      <c r="B14" s="970" t="s">
        <v>2486</v>
      </c>
      <c r="C14" s="23">
        <f ca="1">ROUND(D14*E14*F11/10000,0)</f>
        <v>0</v>
      </c>
      <c r="D14" s="1031">
        <f ca="1">IF(C1="",'数据-汇总表'!E3,INDIRECT("'数据-取费表'!K"&amp;$K$1)+INDIRECT("'数据-取费表'!S"&amp;$K$1))</f>
        <v>34007.5</v>
      </c>
      <c r="E14" s="23">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2488</v>
      </c>
      <c r="C15" s="981">
        <f ca="1">ROUND(C11*F15,0)</f>
        <v>0</v>
      </c>
      <c r="D15" s="976"/>
      <c r="E15" s="981"/>
      <c r="F15" s="982">
        <f>'数据-取费表'!B36</f>
        <v>1.4999999999999999E-2</v>
      </c>
      <c r="G15" s="139"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3">
        <f ca="1">ROUND(D17*E17/10000,0)</f>
        <v>0</v>
      </c>
      <c r="D17" s="1031">
        <f ca="1">D14</f>
        <v>34007.5</v>
      </c>
      <c r="E17" s="23">
        <f>'数据-取费表'!B32</f>
        <v>0</v>
      </c>
      <c r="F17" s="976"/>
      <c r="G17" s="139"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2493</v>
      </c>
      <c r="C18" s="23">
        <f ca="1">C19+C20-IF(C1="",'数据-取费表'!B29,IF(G18="已全部缴纳",C19+C20,H18))</f>
        <v>680</v>
      </c>
      <c r="D18" s="1031"/>
      <c r="E18" s="23"/>
      <c r="F18" s="974"/>
      <c r="G18" s="2554"/>
      <c r="H18" s="1575"/>
      <c r="I18" s="2555" t="s">
        <v>2494</v>
      </c>
      <c r="J18" s="977"/>
      <c r="K18" s="978"/>
    </row>
    <row r="19" spans="1:33" s="973" customFormat="1" ht="13.5" customHeight="1">
      <c r="A19" s="969" t="s">
        <v>805</v>
      </c>
      <c r="B19" s="970" t="s">
        <v>2495</v>
      </c>
      <c r="C19" s="23">
        <f ca="1">ROUND(D19*E19/10000,0)</f>
        <v>0</v>
      </c>
      <c r="D19" s="1031">
        <f ca="1">IF(C1="",'数据-汇总表'!E5,IF(INDIRECT("'数据-取费表'!c"&amp;$K$1)="住宅",INDIRECT("'数据-取费表'!k"&amp;$K$1),0))</f>
        <v>0</v>
      </c>
      <c r="E19" s="23">
        <f>'数据-取费表'!B27</f>
        <v>160</v>
      </c>
      <c r="F19" s="974"/>
      <c r="G19" s="14"/>
      <c r="H19" s="1577"/>
      <c r="I19" s="979"/>
      <c r="J19" s="979"/>
      <c r="K19" s="980"/>
    </row>
    <row r="20" spans="1:33" s="973" customFormat="1" ht="13.5" customHeight="1">
      <c r="A20" s="969" t="s">
        <v>806</v>
      </c>
      <c r="B20" s="970" t="s">
        <v>2496</v>
      </c>
      <c r="C20" s="23">
        <f ca="1">ROUND(D20*E20/10000,0)</f>
        <v>680</v>
      </c>
      <c r="D20" s="1031">
        <f ca="1">IF(C1="",'数据-汇总表'!E6,IF(INDIRECT("'数据-取费表'!c"&amp;$K$1)="住宅",INDIRECT("'数据-取费表'!s"&amp;$K$1),INDIRECT("'数据-取费表'!k"&amp;$K$1)+INDIRECT("'数据-取费表'!s"&amp;$K$1)))</f>
        <v>34007.5</v>
      </c>
      <c r="E20" s="23">
        <f>'数据-取费表'!B28</f>
        <v>200</v>
      </c>
      <c r="F20" s="974"/>
      <c r="G20" s="14"/>
      <c r="H20" s="979"/>
      <c r="I20" s="979"/>
      <c r="J20" s="979"/>
      <c r="K20" s="980"/>
    </row>
    <row r="21" spans="1:33" s="973" customFormat="1" ht="13.5" customHeight="1">
      <c r="A21" s="959" t="s">
        <v>802</v>
      </c>
      <c r="B21" s="983" t="s">
        <v>2497</v>
      </c>
      <c r="C21" s="984">
        <f ca="1">C16+C17+C18</f>
        <v>680</v>
      </c>
      <c r="D21" s="985"/>
      <c r="E21" s="324"/>
      <c r="F21" s="324"/>
      <c r="G21" s="139" t="s">
        <v>2498</v>
      </c>
      <c r="H21" s="977"/>
      <c r="I21" s="977"/>
      <c r="J21" s="977"/>
      <c r="K21" s="978"/>
    </row>
    <row r="22" spans="1:33" s="973" customFormat="1" ht="13.5" customHeight="1">
      <c r="A22" s="959" t="s">
        <v>2470</v>
      </c>
      <c r="B22" s="983" t="s">
        <v>2499</v>
      </c>
      <c r="C22" s="984">
        <f ca="1">ROUND(C21*F22,0)</f>
        <v>20</v>
      </c>
      <c r="D22" s="324"/>
      <c r="E22" s="324"/>
      <c r="F22" s="986">
        <f>'数据-取费表'!B37</f>
        <v>0.03</v>
      </c>
      <c r="G22" s="8" t="s">
        <v>2500</v>
      </c>
      <c r="H22" s="966"/>
      <c r="I22" s="966"/>
      <c r="J22" s="966"/>
      <c r="K22" s="967"/>
    </row>
    <row r="23" spans="1:33" s="973" customFormat="1" ht="13.5" customHeight="1">
      <c r="A23" s="959" t="s">
        <v>2472</v>
      </c>
      <c r="B23" s="983" t="s">
        <v>2501</v>
      </c>
      <c r="C23" s="984">
        <f ca="1">ROUND(C4*F23*F11,0)</f>
        <v>0</v>
      </c>
      <c r="D23" s="324"/>
      <c r="E23" s="324"/>
      <c r="F23" s="986">
        <f>'数据-取费表'!B38</f>
        <v>0.03</v>
      </c>
      <c r="G23" s="8" t="s">
        <v>2502</v>
      </c>
      <c r="H23" s="966"/>
      <c r="I23" s="966"/>
      <c r="J23" s="966"/>
      <c r="K23" s="967"/>
    </row>
    <row r="24" spans="1:33" s="973" customFormat="1" ht="13.5" customHeight="1">
      <c r="A24" s="959" t="s">
        <v>2503</v>
      </c>
      <c r="B24" s="983" t="s">
        <v>2504</v>
      </c>
      <c r="C24" s="323">
        <f>ROUND(F24/(1+'数据-取费表'!C42),4)</f>
        <v>2.9000000000000001E-2</v>
      </c>
      <c r="D24" s="324" t="s">
        <v>15</v>
      </c>
      <c r="E24" s="324"/>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2510</v>
      </c>
      <c r="B28" s="2557" t="s">
        <v>2511</v>
      </c>
      <c r="C28" s="330">
        <f ca="1">C30</f>
        <v>168</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2512</v>
      </c>
      <c r="C29" s="327">
        <f ca="1">ROUND((1+C24)*F28*'数据-取费表'!B24/'数据-取费表'!B20,4)</f>
        <v>0</v>
      </c>
      <c r="D29" s="327"/>
      <c r="E29" s="328"/>
      <c r="F29" s="333"/>
      <c r="G29" s="139" t="s">
        <v>2513</v>
      </c>
      <c r="H29" s="977"/>
      <c r="I29" s="977"/>
      <c r="J29" s="977"/>
      <c r="K29" s="978"/>
    </row>
    <row r="30" spans="1:33" s="334" customFormat="1" ht="13.5" customHeight="1">
      <c r="A30" s="969" t="s">
        <v>804</v>
      </c>
      <c r="B30" s="992" t="s">
        <v>2514</v>
      </c>
      <c r="C30" s="335">
        <f ca="1">ROUND((C21+C22+C23)*F28,0)</f>
        <v>168</v>
      </c>
      <c r="D30" s="327"/>
      <c r="E30" s="328"/>
      <c r="F30" s="333"/>
      <c r="G30" s="139"/>
      <c r="H30" s="977"/>
      <c r="I30" s="977"/>
      <c r="J30" s="977"/>
      <c r="K30" s="978"/>
    </row>
    <row r="31" spans="1:33" s="973" customFormat="1" ht="13.5" customHeight="1" thickBot="1">
      <c r="A31" s="2558"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-844</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53" t="s">
        <v>1403</v>
      </c>
      <c r="C6" s="1294">
        <f ca="1">ROUND(F6*F8*F7*(1-F9),0)</f>
        <v>0</v>
      </c>
      <c r="D6" s="163" t="s">
        <v>3030</v>
      </c>
      <c r="E6" s="346" t="s">
        <v>1405</v>
      </c>
      <c r="F6" s="347">
        <f ca="1">INDIRECT("'数据-取费表'!u"&amp;$G$1)</f>
        <v>0</v>
      </c>
      <c r="G6" s="1849"/>
      <c r="H6" s="1289" t="s">
        <v>1035</v>
      </c>
      <c r="I6" s="3253" t="s">
        <v>1403</v>
      </c>
      <c r="J6" s="345">
        <f ca="1">ROUND(M6*M8*M7*(1-M9),0)</f>
        <v>0</v>
      </c>
      <c r="K6" s="1832" t="s">
        <v>3031</v>
      </c>
      <c r="L6" s="346" t="s">
        <v>1405</v>
      </c>
      <c r="M6" s="347">
        <f ca="1">INDIRECT("'数据-取费表'!z"&amp;$G$1)</f>
        <v>0</v>
      </c>
    </row>
    <row r="7" spans="1:37" ht="18" customHeight="1">
      <c r="A7" s="1293"/>
      <c r="B7" s="3254"/>
      <c r="C7" s="1295"/>
      <c r="D7" s="351"/>
      <c r="E7" s="1296" t="s">
        <v>1406</v>
      </c>
      <c r="F7" s="347">
        <f ca="1">IF(INDIRECT("'数据-取费表'!ah"&amp;$G$1)="",INDIRECT("'数据-取费表'!k"&amp;$G$1),INDIRECT("'数据-取费表'!ah"&amp;$G$1))</f>
        <v>0</v>
      </c>
      <c r="G7" s="1849"/>
      <c r="H7" s="348"/>
      <c r="I7" s="3254"/>
      <c r="J7" s="350"/>
      <c r="K7" s="351"/>
      <c r="L7" s="346" t="s">
        <v>1406</v>
      </c>
      <c r="M7" s="347">
        <f ca="1">F7</f>
        <v>0</v>
      </c>
    </row>
    <row r="8" spans="1:37" ht="18" customHeight="1">
      <c r="A8" s="348"/>
      <c r="B8" s="3254"/>
      <c r="C8" s="350"/>
      <c r="D8" s="351"/>
      <c r="E8" s="346" t="s">
        <v>1407</v>
      </c>
      <c r="F8" s="347">
        <f ca="1">INDIRECT("'数据-取费表'!ai"&amp;$G$1)</f>
        <v>0</v>
      </c>
      <c r="G8" s="1849"/>
      <c r="H8" s="348"/>
      <c r="I8" s="3254"/>
      <c r="J8" s="350"/>
      <c r="K8" s="351"/>
      <c r="L8" s="346" t="s">
        <v>1407</v>
      </c>
      <c r="M8" s="347">
        <f ca="1">INDIRECT("'数据-取费表'!ai"&amp;$G$1)</f>
        <v>0</v>
      </c>
    </row>
    <row r="9" spans="1:37" ht="18" customHeight="1">
      <c r="A9" s="348"/>
      <c r="B9" s="3255"/>
      <c r="C9" s="350"/>
      <c r="D9" s="351"/>
      <c r="E9" s="346" t="s">
        <v>1408</v>
      </c>
      <c r="F9" s="356">
        <f ca="1">INDIRECT("'数据-取费表'!w"&amp;$G$1)</f>
        <v>0</v>
      </c>
      <c r="G9" s="1849"/>
      <c r="H9" s="348"/>
      <c r="I9" s="3255"/>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3041</v>
      </c>
      <c r="E10" s="357" t="s">
        <v>1410</v>
      </c>
      <c r="F10" s="1364"/>
      <c r="G10" s="1849"/>
      <c r="H10" s="1289" t="s">
        <v>1039</v>
      </c>
      <c r="I10" s="1821" t="s">
        <v>1409</v>
      </c>
      <c r="J10" s="345">
        <f ca="1">ROUND(IF(M10="押一",J6/12*M11,IF(M10="押二",J6/12*2*M11,IF(M10="押三",J6/12*3*M11,J11*M11))),0)</f>
        <v>0</v>
      </c>
      <c r="K10" s="1833" t="s">
        <v>3043</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3">
        <f ca="1">C29</f>
        <v>0</v>
      </c>
      <c r="K14" s="14"/>
      <c r="L14" s="977"/>
      <c r="M14" s="978"/>
    </row>
    <row r="15" spans="1:37" s="1856" customFormat="1" ht="18" customHeight="1" thickBot="1">
      <c r="A15" s="1199" t="s">
        <v>1036</v>
      </c>
      <c r="B15" s="346" t="s">
        <v>1420</v>
      </c>
      <c r="C15" s="23">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3">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3">
        <f ca="1">ROUND(F17*(F43+INDIRECT("'数据-取费表'!S"&amp;$G$1)),0)</f>
        <v>0</v>
      </c>
      <c r="D17" s="346" t="s">
        <v>1427</v>
      </c>
      <c r="E17" s="346" t="s">
        <v>1428</v>
      </c>
      <c r="F17" s="25">
        <f>'数据-取费表'!B35</f>
        <v>200</v>
      </c>
      <c r="G17" s="1852"/>
      <c r="H17" s="1199"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3">
        <f ca="1">ROUND(C14*F18,0)</f>
        <v>0</v>
      </c>
      <c r="D18" s="346" t="s">
        <v>1421</v>
      </c>
      <c r="E18" s="346" t="s">
        <v>1422</v>
      </c>
      <c r="F18" s="366">
        <f>'数据-取费表'!B36</f>
        <v>1.4999999999999999E-2</v>
      </c>
      <c r="G18" s="1852"/>
      <c r="H18" s="1199"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3">
        <f ca="1">SUM(C14:C18)</f>
        <v>0</v>
      </c>
      <c r="D19" s="139" t="s">
        <v>1436</v>
      </c>
      <c r="E19" s="1816"/>
      <c r="F19" s="25"/>
      <c r="G19" s="1849"/>
      <c r="H19" s="1199"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3">
        <f ca="1">ROUND(C19*F20,0)</f>
        <v>0</v>
      </c>
      <c r="D20" s="368" t="s">
        <v>1440</v>
      </c>
      <c r="E20" s="346" t="s">
        <v>1422</v>
      </c>
      <c r="F20" s="366">
        <f>'数据-取费表'!B37</f>
        <v>0.03</v>
      </c>
      <c r="G20" s="1852"/>
      <c r="H20" s="1199" t="s">
        <v>1389</v>
      </c>
      <c r="I20" s="163" t="s">
        <v>1441</v>
      </c>
      <c r="J20" s="24">
        <f ca="1">ROUND(M20*M21,0)</f>
        <v>0</v>
      </c>
      <c r="K20" s="369" t="s">
        <v>1442</v>
      </c>
      <c r="L20" s="346" t="s">
        <v>1443</v>
      </c>
      <c r="M20" s="370">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3" t="s">
        <v>1</v>
      </c>
      <c r="D21" s="368" t="s">
        <v>1445</v>
      </c>
      <c r="E21" s="346" t="s">
        <v>1446</v>
      </c>
      <c r="F21" s="366">
        <f>'数据-取费表'!B38</f>
        <v>0.03</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3"/>
      <c r="D22" s="139" t="str">
        <f>IF(F23&lt;=1,"单利计息。","复利计息。")&amp;"建造成本、管理费用、销售费用产生的利息。"</f>
        <v>复利计息。建造成本、管理费用、销售费用产生的利息。</v>
      </c>
      <c r="E22" s="1816"/>
      <c r="F22" s="25"/>
      <c r="G22" s="1849"/>
      <c r="H22" s="1199" t="s">
        <v>1039</v>
      </c>
      <c r="I22" s="346" t="s">
        <v>1449</v>
      </c>
      <c r="J22" s="23">
        <f ca="1">ROUND(J14*M22,0)</f>
        <v>0</v>
      </c>
      <c r="K22" s="1796" t="s">
        <v>1450</v>
      </c>
      <c r="L22" s="346" t="s">
        <v>1422</v>
      </c>
      <c r="M22" s="373">
        <f ca="1">INDIRECT("'数据-取费表'!Ak"&amp;$G$1)</f>
        <v>0</v>
      </c>
    </row>
    <row r="23" spans="1:37" s="1856" customFormat="1" ht="18" customHeight="1">
      <c r="A23" s="1199"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3"/>
      <c r="D25" s="139" t="s">
        <v>1462</v>
      </c>
      <c r="E25" s="1816"/>
      <c r="F25" s="25"/>
      <c r="G25" s="1849"/>
      <c r="H25" s="1327" t="s">
        <v>1031</v>
      </c>
      <c r="I25" s="1342" t="s">
        <v>1463</v>
      </c>
      <c r="J25" s="354">
        <f ca="1">J5-J16</f>
        <v>0</v>
      </c>
      <c r="K25" s="1343" t="s">
        <v>1464</v>
      </c>
      <c r="L25" s="1344"/>
      <c r="M25" s="1345"/>
    </row>
    <row r="26" spans="1:37" ht="18" customHeight="1">
      <c r="A26" s="1199"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4">
        <f ca="1">IF(项目基本情况!B11="自然人","——",ROUND(F34*F35,))</f>
        <v>0</v>
      </c>
      <c r="D34" s="369" t="s">
        <v>1442</v>
      </c>
      <c r="E34" s="346" t="s">
        <v>1443</v>
      </c>
      <c r="F34" s="370">
        <f>'数据-取费表'!B52</f>
        <v>12</v>
      </c>
      <c r="G34" s="1849"/>
      <c r="H34" s="744"/>
      <c r="I34" s="1858"/>
      <c r="J34" s="1859"/>
      <c r="K34" s="1861"/>
      <c r="L34" s="1862"/>
      <c r="M34" s="1862"/>
    </row>
    <row r="35" spans="1:18" ht="18" customHeight="1">
      <c r="A35" s="1351"/>
      <c r="B35" s="1349"/>
      <c r="C35" s="28"/>
      <c r="D35" s="372"/>
      <c r="E35" s="346" t="s">
        <v>1447</v>
      </c>
      <c r="F35" s="347">
        <f ca="1">INDIRECT("'数据-取费表'!r"&amp;$G$1)</f>
        <v>0</v>
      </c>
      <c r="G35" s="1849"/>
      <c r="H35" s="744"/>
      <c r="I35" s="1858"/>
      <c r="J35" s="1859"/>
      <c r="K35" s="1860"/>
      <c r="L35" s="1857"/>
      <c r="M35" s="1857"/>
    </row>
    <row r="36" spans="1:18" ht="18" customHeight="1">
      <c r="A36" s="1350"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3044</v>
      </c>
      <c r="E53" s="357" t="s">
        <v>1410</v>
      </c>
      <c r="F53" s="1364"/>
      <c r="I53" s="1903" t="s">
        <v>1547</v>
      </c>
      <c r="J53" s="1904" t="b">
        <f>IF(M47="住宅",J51,IF(D1="——",MIN(J51,L48),IF(D1="在建（套用方法）",MIN(J51,L48-'数据-取费表'!B24),IF(D1="土地（套用方法）",MIN(J51,L48-'数据-取费表'!B20)))))</f>
        <v>0</v>
      </c>
      <c r="K53" s="3256" t="s">
        <v>1548</v>
      </c>
      <c r="L53" s="3257"/>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3">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3">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3">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4">
        <f ca="1">IF(项目基本情况!B11="自然人","——",ROUND(F62*F63,0))</f>
        <v>0</v>
      </c>
      <c r="D62" s="1182" t="s">
        <v>1497</v>
      </c>
      <c r="E62" s="1167" t="s">
        <v>1498</v>
      </c>
      <c r="F62" s="370">
        <f t="shared" si="0"/>
        <v>12</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8"/>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3">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3">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3">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2527</v>
      </c>
      <c r="B1" s="2560"/>
      <c r="C1" s="2560"/>
      <c r="D1" s="2560"/>
      <c r="E1" s="2561"/>
    </row>
    <row r="2" spans="1:6" ht="15.75">
      <c r="A2" s="2562" t="s">
        <v>2328</v>
      </c>
      <c r="B2" s="2563">
        <f ca="1">SUMIF(B6:B13,"&lt;&gt;#ref!",B6:B13)</f>
        <v>139494</v>
      </c>
      <c r="C2" s="2564" t="s">
        <v>2520</v>
      </c>
      <c r="D2" s="2565" t="s">
        <v>2521</v>
      </c>
      <c r="E2" s="2566">
        <f>SUM(E6:E13)</f>
        <v>34007.5</v>
      </c>
    </row>
    <row r="3" spans="1:6" ht="15.75">
      <c r="A3" s="2562" t="s">
        <v>1395</v>
      </c>
      <c r="B3" s="2563">
        <f ca="1">ROUND(B2*10000/E2,0)</f>
        <v>41019</v>
      </c>
      <c r="C3" s="2564" t="s">
        <v>2528</v>
      </c>
      <c r="D3" s="2567"/>
      <c r="E3" s="2568"/>
    </row>
    <row r="4" spans="1:6" ht="15.75">
      <c r="A4" s="2569"/>
      <c r="B4" s="2567"/>
      <c r="C4" s="2567"/>
      <c r="D4" s="2567"/>
      <c r="E4" s="2568"/>
    </row>
    <row r="5" spans="1:6" ht="15">
      <c r="A5" s="2570" t="s">
        <v>2522</v>
      </c>
      <c r="B5" s="3285" t="s">
        <v>2523</v>
      </c>
      <c r="C5" s="3285"/>
      <c r="D5" s="2571"/>
      <c r="E5" s="2572" t="s">
        <v>2524</v>
      </c>
      <c r="F5" s="2573" t="s">
        <v>2525</v>
      </c>
    </row>
    <row r="6" spans="1:6">
      <c r="A6" s="2574" t="str">
        <f>'数据-取费表'!AN6</f>
        <v>收益法办公</v>
      </c>
      <c r="B6" s="2573">
        <f ca="1">IF(F6="是",'数据-取费表'!AO6,0)</f>
        <v>104665</v>
      </c>
      <c r="C6" s="2564" t="s">
        <v>2520</v>
      </c>
      <c r="D6" s="2567"/>
      <c r="E6" s="2575">
        <f>IF(OR(A6=0,F6="否"),0,'数据-取费表'!K6+'数据-取费表'!S6)</f>
        <v>24052.409999999996</v>
      </c>
      <c r="F6" s="2576" t="s">
        <v>2526</v>
      </c>
    </row>
    <row r="7" spans="1:6">
      <c r="A7" s="2574" t="str">
        <f>'数据-取费表'!AN7</f>
        <v>收益法仓储</v>
      </c>
      <c r="B7" s="2573">
        <f ca="1">IF(F7="是",'数据-取费表'!AO7,0)</f>
        <v>31442</v>
      </c>
      <c r="C7" s="2564" t="s">
        <v>2520</v>
      </c>
      <c r="D7" s="2567"/>
      <c r="E7" s="2575">
        <f>IF(OR(A7=0,F7="否"),0,'数据-取费表'!K7+'数据-取费表'!S7)</f>
        <v>6180.34</v>
      </c>
      <c r="F7" s="2576" t="s">
        <v>2526</v>
      </c>
    </row>
    <row r="8" spans="1:6">
      <c r="A8" s="2574" t="str">
        <f>'数据-取费表'!AN8</f>
        <v>收益法车库</v>
      </c>
      <c r="B8" s="2573">
        <f ca="1">IF(F8="是",'数据-取费表'!AO8,0)</f>
        <v>3387</v>
      </c>
      <c r="C8" s="2564" t="s">
        <v>2520</v>
      </c>
      <c r="D8" s="2567"/>
      <c r="E8" s="2575">
        <f>IF(OR(A8=0,F8="否"),0,'数据-取费表'!K8+'数据-取费表'!S8)</f>
        <v>3774.75</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02" t="s">
        <v>1076</v>
      </c>
      <c r="B1" s="3303"/>
      <c r="C1" s="3304"/>
      <c r="D1" s="3305">
        <f>SUM(I10,I15,I20,I21,I23)</f>
        <v>0</v>
      </c>
      <c r="E1" s="3305"/>
      <c r="F1" s="3305"/>
      <c r="G1" s="3305"/>
      <c r="H1" s="3305"/>
      <c r="I1" s="3306"/>
    </row>
    <row r="2" spans="1:9">
      <c r="A2" s="3292" t="s">
        <v>1077</v>
      </c>
      <c r="B2" s="3293" t="s">
        <v>1078</v>
      </c>
      <c r="C2" s="3293"/>
      <c r="D2" s="1299" t="s">
        <v>1079</v>
      </c>
      <c r="E2" s="1299" t="s">
        <v>1080</v>
      </c>
      <c r="F2" s="1299" t="s">
        <v>1081</v>
      </c>
      <c r="G2" s="1299" t="s">
        <v>1082</v>
      </c>
      <c r="H2" s="1299" t="s">
        <v>1083</v>
      </c>
      <c r="I2" s="1300" t="s">
        <v>1084</v>
      </c>
    </row>
    <row r="3" spans="1:9">
      <c r="A3" s="3292"/>
      <c r="B3" s="3293" t="s">
        <v>1085</v>
      </c>
      <c r="C3" s="3293"/>
      <c r="D3" s="1301"/>
      <c r="E3" s="1299"/>
      <c r="F3" s="1302"/>
      <c r="G3" s="1302"/>
      <c r="H3" s="1303"/>
      <c r="I3" s="1304">
        <f>ROUND(D3*E3*F3*G3*H3/10000,0)</f>
        <v>0</v>
      </c>
    </row>
    <row r="4" spans="1:9">
      <c r="A4" s="3292"/>
      <c r="B4" s="3293" t="s">
        <v>1086</v>
      </c>
      <c r="C4" s="3293"/>
      <c r="D4" s="1301"/>
      <c r="E4" s="1299"/>
      <c r="F4" s="1302"/>
      <c r="G4" s="1302"/>
      <c r="H4" s="1303"/>
      <c r="I4" s="1304">
        <f t="shared" ref="I4:I9" si="0">ROUND(D4*E4*F4*G4*H4/10000,0)</f>
        <v>0</v>
      </c>
    </row>
    <row r="5" spans="1:9">
      <c r="A5" s="3292"/>
      <c r="B5" s="3293" t="s">
        <v>1087</v>
      </c>
      <c r="C5" s="3293"/>
      <c r="D5" s="1301"/>
      <c r="E5" s="1299"/>
      <c r="F5" s="1302"/>
      <c r="G5" s="1302"/>
      <c r="H5" s="1303"/>
      <c r="I5" s="1304">
        <f t="shared" si="0"/>
        <v>0</v>
      </c>
    </row>
    <row r="6" spans="1:9">
      <c r="A6" s="3292"/>
      <c r="B6" s="3293" t="s">
        <v>1088</v>
      </c>
      <c r="C6" s="3293"/>
      <c r="D6" s="1301"/>
      <c r="E6" s="1299"/>
      <c r="F6" s="1302"/>
      <c r="G6" s="1302"/>
      <c r="H6" s="1303"/>
      <c r="I6" s="1304">
        <f t="shared" si="0"/>
        <v>0</v>
      </c>
    </row>
    <row r="7" spans="1:9">
      <c r="A7" s="3292"/>
      <c r="B7" s="3293" t="s">
        <v>1089</v>
      </c>
      <c r="C7" s="3293"/>
      <c r="D7" s="1301"/>
      <c r="E7" s="1299"/>
      <c r="F7" s="1302"/>
      <c r="G7" s="1302"/>
      <c r="H7" s="1303"/>
      <c r="I7" s="1304">
        <f t="shared" si="0"/>
        <v>0</v>
      </c>
    </row>
    <row r="8" spans="1:9">
      <c r="A8" s="3292"/>
      <c r="B8" s="3293" t="s">
        <v>1090</v>
      </c>
      <c r="C8" s="3293"/>
      <c r="D8" s="1301"/>
      <c r="E8" s="1299"/>
      <c r="F8" s="1302"/>
      <c r="G8" s="1302"/>
      <c r="H8" s="1303"/>
      <c r="I8" s="1304">
        <f t="shared" si="0"/>
        <v>0</v>
      </c>
    </row>
    <row r="9" spans="1:9">
      <c r="A9" s="3292"/>
      <c r="B9" s="3293" t="s">
        <v>1091</v>
      </c>
      <c r="C9" s="3293"/>
      <c r="D9" s="1301"/>
      <c r="E9" s="1299"/>
      <c r="F9" s="1302"/>
      <c r="G9" s="1302"/>
      <c r="H9" s="1303"/>
      <c r="I9" s="1304">
        <f t="shared" si="0"/>
        <v>0</v>
      </c>
    </row>
    <row r="10" spans="1:9">
      <c r="A10" s="3292"/>
      <c r="B10" s="3294" t="s">
        <v>1092</v>
      </c>
      <c r="C10" s="3294"/>
      <c r="D10" s="1305"/>
      <c r="E10" s="1305" t="e">
        <f>ROUND(D1*10000/D10/H9,0)</f>
        <v>#DIV/0!</v>
      </c>
      <c r="F10" s="1306"/>
      <c r="G10" s="1306"/>
      <c r="H10" s="1307"/>
      <c r="I10" s="1308">
        <f>SUM(I3:I9)</f>
        <v>0</v>
      </c>
    </row>
    <row r="11" spans="1:9" ht="14.25">
      <c r="A11" s="3292" t="s">
        <v>1093</v>
      </c>
      <c r="B11" s="3293" t="s">
        <v>1094</v>
      </c>
      <c r="C11" s="3293"/>
      <c r="D11" s="1301" t="s">
        <v>1095</v>
      </c>
      <c r="E11" s="1301" t="s">
        <v>1096</v>
      </c>
      <c r="F11" s="1302" t="s">
        <v>1097</v>
      </c>
      <c r="G11" s="1302" t="s">
        <v>1083</v>
      </c>
      <c r="H11" s="1309" t="s">
        <v>1098</v>
      </c>
      <c r="I11" s="1300" t="s">
        <v>1084</v>
      </c>
    </row>
    <row r="12" spans="1:9">
      <c r="A12" s="3292"/>
      <c r="B12" s="3293" t="s">
        <v>1099</v>
      </c>
      <c r="C12" s="3293"/>
      <c r="D12" s="1301"/>
      <c r="E12" s="1301"/>
      <c r="F12" s="1302"/>
      <c r="G12" s="1303"/>
      <c r="H12" s="1310"/>
      <c r="I12" s="1300">
        <f>ROUND(D12*E12*F12*G12/10000,0)</f>
        <v>0</v>
      </c>
    </row>
    <row r="13" spans="1:9">
      <c r="A13" s="3292"/>
      <c r="B13" s="3293" t="s">
        <v>1100</v>
      </c>
      <c r="C13" s="3293"/>
      <c r="D13" s="1301"/>
      <c r="E13" s="1301"/>
      <c r="F13" s="1302"/>
      <c r="G13" s="1303"/>
      <c r="H13" s="1310"/>
      <c r="I13" s="1300">
        <f>ROUND(D13*E13*F13*G13/10000,0)</f>
        <v>0</v>
      </c>
    </row>
    <row r="14" spans="1:9">
      <c r="A14" s="3292"/>
      <c r="B14" s="3293" t="s">
        <v>1101</v>
      </c>
      <c r="C14" s="3293"/>
      <c r="D14" s="1301"/>
      <c r="E14" s="1301"/>
      <c r="F14" s="1302"/>
      <c r="G14" s="1303"/>
      <c r="H14" s="1310"/>
      <c r="I14" s="1300">
        <f>ROUND(D14*E14*F14*G14/10000,0)</f>
        <v>0</v>
      </c>
    </row>
    <row r="15" spans="1:9">
      <c r="A15" s="3292"/>
      <c r="B15" s="3294" t="s">
        <v>1092</v>
      </c>
      <c r="C15" s="3294"/>
      <c r="D15" s="1305"/>
      <c r="E15" s="1305">
        <f>SUM(E12:E14)</f>
        <v>0</v>
      </c>
      <c r="F15" s="1306"/>
      <c r="G15" s="1303"/>
      <c r="H15" s="1310"/>
      <c r="I15" s="1311">
        <f>SUM(I12:I14)</f>
        <v>0</v>
      </c>
    </row>
    <row r="16" spans="1:9" ht="24">
      <c r="A16" s="3292" t="s">
        <v>1102</v>
      </c>
      <c r="B16" s="3293" t="s">
        <v>1103</v>
      </c>
      <c r="C16" s="3293"/>
      <c r="D16" s="1301" t="s">
        <v>1079</v>
      </c>
      <c r="E16" s="1312" t="s">
        <v>1104</v>
      </c>
      <c r="F16" s="1302" t="s">
        <v>1105</v>
      </c>
      <c r="G16" s="1303" t="s">
        <v>1083</v>
      </c>
      <c r="H16" s="1309" t="s">
        <v>1098</v>
      </c>
      <c r="I16" s="1300" t="s">
        <v>1084</v>
      </c>
    </row>
    <row r="17" spans="1:9" ht="14.25">
      <c r="A17" s="3292"/>
      <c r="B17" s="3293" t="s">
        <v>1106</v>
      </c>
      <c r="C17" s="3293"/>
      <c r="D17" s="1301"/>
      <c r="E17" s="1301"/>
      <c r="F17" s="1302"/>
      <c r="G17" s="1303"/>
      <c r="H17" s="1313"/>
      <c r="I17" s="1314">
        <f>ROUND(D17*E17*F17*G17/10000,0)</f>
        <v>0</v>
      </c>
    </row>
    <row r="18" spans="1:9" ht="14.25">
      <c r="A18" s="3292"/>
      <c r="B18" s="3293" t="s">
        <v>1107</v>
      </c>
      <c r="C18" s="3293"/>
      <c r="D18" s="1301"/>
      <c r="E18" s="1301"/>
      <c r="F18" s="1302"/>
      <c r="G18" s="1303"/>
      <c r="H18" s="1313"/>
      <c r="I18" s="1314">
        <f>ROUND(D18*E18*F18*G18/10000,0)</f>
        <v>0</v>
      </c>
    </row>
    <row r="19" spans="1:9" ht="14.25">
      <c r="A19" s="3292"/>
      <c r="B19" s="3293" t="s">
        <v>1108</v>
      </c>
      <c r="C19" s="3293"/>
      <c r="D19" s="1301"/>
      <c r="E19" s="1301"/>
      <c r="F19" s="1302"/>
      <c r="G19" s="1303"/>
      <c r="H19" s="1313"/>
      <c r="I19" s="1314">
        <f>ROUND(D19*E19*F19*G19/10000,0)</f>
        <v>0</v>
      </c>
    </row>
    <row r="20" spans="1:9">
      <c r="A20" s="3292"/>
      <c r="B20" s="3294" t="s">
        <v>1092</v>
      </c>
      <c r="C20" s="3294"/>
      <c r="D20" s="1305">
        <f>SUM(D17:D19)</f>
        <v>0</v>
      </c>
      <c r="E20" s="1305"/>
      <c r="F20" s="1306"/>
      <c r="G20" s="1303"/>
      <c r="H20" s="1310"/>
      <c r="I20" s="1311">
        <f>SUM(I17:I19)</f>
        <v>0</v>
      </c>
    </row>
    <row r="21" spans="1:9">
      <c r="A21" s="3292" t="s">
        <v>1109</v>
      </c>
      <c r="B21" s="3295"/>
      <c r="C21" s="3295"/>
      <c r="D21" s="3295"/>
      <c r="E21" s="3295"/>
      <c r="F21" s="3295"/>
      <c r="G21" s="3295"/>
      <c r="H21" s="1763">
        <v>0.1</v>
      </c>
      <c r="I21" s="1308">
        <f>ROUND(I10*H21,0)</f>
        <v>0</v>
      </c>
    </row>
    <row r="22" spans="1:9" ht="14.25">
      <c r="A22" s="3296" t="s">
        <v>1110</v>
      </c>
      <c r="B22" s="3297"/>
      <c r="C22" s="3298"/>
      <c r="D22" s="1315" t="s">
        <v>1111</v>
      </c>
      <c r="E22" s="1315" t="s">
        <v>1112</v>
      </c>
      <c r="F22" s="1316" t="s">
        <v>1113</v>
      </c>
      <c r="G22" s="1316" t="s">
        <v>1114</v>
      </c>
      <c r="H22" s="1309" t="s">
        <v>1115</v>
      </c>
      <c r="I22" s="1300" t="s">
        <v>1116</v>
      </c>
    </row>
    <row r="23" spans="1:9" ht="14.25" thickBot="1">
      <c r="A23" s="3299"/>
      <c r="B23" s="3300"/>
      <c r="C23" s="3301"/>
      <c r="D23" s="1317"/>
      <c r="E23" s="1317"/>
      <c r="F23" s="1317"/>
      <c r="G23" s="1318"/>
      <c r="H23" s="1319"/>
      <c r="I23" s="1320">
        <f>ROUND(E23*D23*F23*(1-G23)/10000,0)</f>
        <v>0</v>
      </c>
    </row>
    <row r="26" spans="1:9">
      <c r="A26" s="1321" t="s">
        <v>1117</v>
      </c>
      <c r="B26" s="1321"/>
      <c r="C26" s="1321"/>
      <c r="D26" s="1321"/>
      <c r="E26" s="3289">
        <f>C27-C30-C31-C32</f>
        <v>0</v>
      </c>
      <c r="F26" s="3289"/>
      <c r="G26" s="3289"/>
      <c r="H26" s="1735" t="s">
        <v>1340</v>
      </c>
    </row>
    <row r="27" spans="1:9">
      <c r="A27" s="1322">
        <v>1</v>
      </c>
      <c r="B27" s="1323" t="s">
        <v>1118</v>
      </c>
      <c r="C27" s="1323">
        <f>C28+C29</f>
        <v>0</v>
      </c>
      <c r="D27" s="1323"/>
      <c r="E27" s="3290"/>
      <c r="F27" s="3290"/>
      <c r="G27" s="3290"/>
    </row>
    <row r="28" spans="1:9">
      <c r="A28" s="1324" t="s">
        <v>1119</v>
      </c>
      <c r="B28" s="1323" t="s">
        <v>1120</v>
      </c>
      <c r="C28" s="1323"/>
      <c r="D28" s="1323"/>
      <c r="E28" s="3290"/>
      <c r="F28" s="3290"/>
      <c r="G28" s="3290"/>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1"/>
      <c r="F32" s="3291"/>
      <c r="G32" s="3291"/>
    </row>
    <row r="33" spans="1:7" hidden="1">
      <c r="A33" s="3286" t="s">
        <v>1129</v>
      </c>
      <c r="B33" s="3287"/>
      <c r="C33" s="3287"/>
      <c r="D33" s="3288"/>
      <c r="E33" s="3289"/>
      <c r="F33" s="3289"/>
      <c r="G33" s="3289"/>
    </row>
    <row r="34" spans="1:7" hidden="1">
      <c r="A34" s="1326">
        <v>1</v>
      </c>
      <c r="B34" s="1323" t="s">
        <v>1130</v>
      </c>
      <c r="C34" s="1323"/>
      <c r="D34" s="1323"/>
      <c r="E34" s="3290"/>
      <c r="F34" s="3290"/>
      <c r="G34" s="3290"/>
    </row>
    <row r="35" spans="1:7" hidden="1">
      <c r="A35" s="1326">
        <v>2</v>
      </c>
      <c r="B35" s="1323" t="s">
        <v>1131</v>
      </c>
      <c r="C35" s="1323"/>
      <c r="D35" s="1323"/>
      <c r="E35" s="3290"/>
      <c r="F35" s="3290"/>
      <c r="G35" s="3290"/>
    </row>
    <row r="36" spans="1:7" hidden="1">
      <c r="A36" s="1326">
        <v>3</v>
      </c>
      <c r="B36" s="1323" t="s">
        <v>1132</v>
      </c>
      <c r="C36" s="1323"/>
      <c r="D36" s="1323"/>
      <c r="E36" s="3290"/>
      <c r="F36" s="3290"/>
      <c r="G36" s="3290"/>
    </row>
    <row r="37" spans="1:7" hidden="1">
      <c r="A37" s="1326">
        <v>4</v>
      </c>
      <c r="B37" s="1323" t="s">
        <v>1133</v>
      </c>
      <c r="C37" s="1323"/>
      <c r="D37" s="1323"/>
      <c r="E37" s="3290"/>
      <c r="F37" s="3290"/>
      <c r="G37" s="3290"/>
    </row>
    <row r="38" spans="1:7" hidden="1">
      <c r="A38" s="3286" t="s">
        <v>1134</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2530</v>
      </c>
      <c r="C1" s="1632" t="s">
        <v>2531</v>
      </c>
      <c r="D1" s="1619"/>
      <c r="E1" s="2581"/>
      <c r="F1" s="2582" t="s">
        <v>2532</v>
      </c>
      <c r="G1" s="1629" t="s">
        <v>2533</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1394</v>
      </c>
      <c r="B2" s="1416" t="e">
        <f ca="1">IF(C2="——",ROUND(C49*D3/10000,0),ROUND(C49*D3/10000,0)-D2)</f>
        <v>#DIV/0!</v>
      </c>
      <c r="C2" s="2584"/>
      <c r="D2" s="1363" t="e">
        <f ca="1">SUMIF(INDIRECT("'"&amp;F2&amp;"'"&amp;"!A:A"),"承租人权益价值",INDIRECT("'"&amp;F2&amp;"'"&amp;"!c:c"))</f>
        <v>#REF!</v>
      </c>
      <c r="E2" s="2585" t="s">
        <v>2534</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1395</v>
      </c>
      <c r="B3" s="398" t="e">
        <f ca="1">IF(C2="——",C49,ROUND(B2*10000/D3,0))</f>
        <v>#DIV/0!</v>
      </c>
      <c r="C3" s="399" t="s">
        <v>2535</v>
      </c>
      <c r="D3" s="398">
        <f>IF(D1="",'数据-汇总表'!E3,SUMIF('数据-汇总表'!$C19:$C33,D1,'数据-汇总表'!$E19:$E33))</f>
        <v>34007.5</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2536</v>
      </c>
      <c r="B4" s="401"/>
      <c r="C4" s="3222" t="s">
        <v>2537</v>
      </c>
      <c r="D4" s="3223"/>
      <c r="E4" s="3224" t="s">
        <v>2538</v>
      </c>
      <c r="F4" s="3225"/>
      <c r="G4" s="3222" t="s">
        <v>2539</v>
      </c>
      <c r="H4" s="3223"/>
      <c r="I4" s="3222" t="s">
        <v>2540</v>
      </c>
      <c r="J4" s="3223"/>
      <c r="K4" s="2594" t="s">
        <v>2541</v>
      </c>
      <c r="L4" s="1128"/>
      <c r="M4" s="1129"/>
      <c r="N4" s="1129"/>
      <c r="O4" s="1129"/>
      <c r="P4" s="3311" t="s">
        <v>2542</v>
      </c>
      <c r="Q4" s="3312"/>
      <c r="R4" s="3315" t="s">
        <v>2538</v>
      </c>
      <c r="S4" s="3316"/>
      <c r="T4" s="3315" t="s">
        <v>2539</v>
      </c>
      <c r="U4" s="3316"/>
      <c r="V4" s="3239" t="s">
        <v>2540</v>
      </c>
      <c r="W4" s="3239"/>
      <c r="X4" s="1811"/>
      <c r="Y4" s="3315" t="s">
        <v>2542</v>
      </c>
      <c r="Z4" s="3316"/>
      <c r="AA4" s="3310" t="s">
        <v>2538</v>
      </c>
      <c r="AB4" s="3310" t="s">
        <v>2539</v>
      </c>
      <c r="AC4" s="3310" t="s">
        <v>2540</v>
      </c>
    </row>
    <row r="5" spans="1:29" ht="15">
      <c r="A5" s="403"/>
      <c r="B5" s="404"/>
      <c r="C5" s="3248" t="s">
        <v>2543</v>
      </c>
      <c r="D5" s="3249"/>
      <c r="E5" s="3319" t="s">
        <v>2544</v>
      </c>
      <c r="F5" s="3243"/>
      <c r="G5" s="3248" t="s">
        <v>2545</v>
      </c>
      <c r="H5" s="3249"/>
      <c r="I5" s="3248" t="s">
        <v>2546</v>
      </c>
      <c r="J5" s="3249"/>
      <c r="K5" s="2595"/>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2595"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43236</v>
      </c>
      <c r="D7" s="410">
        <v>100</v>
      </c>
      <c r="E7" s="411"/>
      <c r="F7" s="412">
        <f>SUMIF(58:58,YEAR(E7)&amp;"-"&amp;MONTH(E7),59:59)</f>
        <v>0</v>
      </c>
      <c r="G7" s="411"/>
      <c r="H7" s="410">
        <f>SUMIF(58:58,YEAR(G7)&amp;"-"&amp;MONTH(G7),59:59)</f>
        <v>0</v>
      </c>
      <c r="I7" s="411"/>
      <c r="J7" s="410">
        <f>SUMIF(58:58,YEAR(I7)&amp;"-"&amp;MONTH(I7),59:59)</f>
        <v>0</v>
      </c>
      <c r="K7" s="2596"/>
      <c r="L7" s="1130"/>
      <c r="M7" s="1131"/>
      <c r="N7" s="1131"/>
      <c r="O7" s="1131"/>
      <c r="P7" s="3246" t="s">
        <v>2550</v>
      </c>
      <c r="Q7" s="3247"/>
      <c r="R7" s="769" t="s">
        <v>23</v>
      </c>
      <c r="S7" s="770">
        <f t="shared" ref="S7:S15" si="0">F7</f>
        <v>0</v>
      </c>
      <c r="T7" s="769" t="s">
        <v>23</v>
      </c>
      <c r="U7" s="770">
        <f t="shared" ref="U7:U15" si="1">H7</f>
        <v>0</v>
      </c>
      <c r="V7" s="769" t="s">
        <v>23</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2597"/>
      <c r="F8" s="412">
        <f>SUMIF(61:61,E8,62:62)-SUMIF(61:61,C8,62:62)+100</f>
        <v>0</v>
      </c>
      <c r="G8" s="413"/>
      <c r="H8" s="410">
        <f>SUMIF(61:61,G8,62:62)-SUMIF(61:61,C8,62:62)+100</f>
        <v>0</v>
      </c>
      <c r="I8" s="2597"/>
      <c r="J8" s="410">
        <f>SUMIF(61:61,I8,62:62)-SUMIF(61:61,C8,62:62)+100</f>
        <v>0</v>
      </c>
      <c r="K8" s="2596"/>
      <c r="L8" s="1130"/>
      <c r="M8" s="1131"/>
      <c r="N8" s="1131"/>
      <c r="O8" s="1131"/>
      <c r="P8" s="3246" t="s">
        <v>2553</v>
      </c>
      <c r="Q8" s="3245"/>
      <c r="R8" s="769" t="s">
        <v>23</v>
      </c>
      <c r="S8" s="770">
        <f t="shared" si="0"/>
        <v>0</v>
      </c>
      <c r="T8" s="769" t="s">
        <v>23</v>
      </c>
      <c r="U8" s="770">
        <f t="shared" si="1"/>
        <v>0</v>
      </c>
      <c r="V8" s="769" t="s">
        <v>23</v>
      </c>
      <c r="W8" s="770">
        <f t="shared" si="2"/>
        <v>0</v>
      </c>
      <c r="X8" s="771"/>
      <c r="Y8" s="3246" t="s">
        <v>2553</v>
      </c>
      <c r="Z8" s="3245"/>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6"/>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04"/>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04"/>
      <c r="Q11" s="1793" t="str">
        <f t="shared" si="6"/>
        <v>容积率</v>
      </c>
      <c r="R11" s="769" t="s">
        <v>21</v>
      </c>
      <c r="S11" s="770" t="e">
        <f t="shared" si="0"/>
        <v>#N/A</v>
      </c>
      <c r="T11" s="769" t="s">
        <v>21</v>
      </c>
      <c r="U11" s="770" t="e">
        <f t="shared" si="1"/>
        <v>#N/A</v>
      </c>
      <c r="V11" s="769" t="s">
        <v>21</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204"/>
      <c r="Q12" s="1793">
        <f t="shared" si="6"/>
        <v>111</v>
      </c>
      <c r="R12" s="769" t="s">
        <v>21</v>
      </c>
      <c r="S12" s="770">
        <f t="shared" si="0"/>
        <v>100</v>
      </c>
      <c r="T12" s="769" t="s">
        <v>21</v>
      </c>
      <c r="U12" s="770">
        <f t="shared" si="1"/>
        <v>100</v>
      </c>
      <c r="V12" s="769" t="s">
        <v>21</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204"/>
      <c r="Q13" s="1793">
        <f t="shared" si="6"/>
        <v>111</v>
      </c>
      <c r="R13" s="769" t="s">
        <v>21</v>
      </c>
      <c r="S13" s="770">
        <f t="shared" si="0"/>
        <v>100</v>
      </c>
      <c r="T13" s="769" t="s">
        <v>21</v>
      </c>
      <c r="U13" s="770">
        <f t="shared" si="1"/>
        <v>100</v>
      </c>
      <c r="V13" s="769" t="s">
        <v>21</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204"/>
      <c r="Q14" s="1793">
        <f t="shared" si="6"/>
        <v>111</v>
      </c>
      <c r="R14" s="769" t="s">
        <v>21</v>
      </c>
      <c r="S14" s="770">
        <f t="shared" si="0"/>
        <v>100</v>
      </c>
      <c r="T14" s="769" t="s">
        <v>21</v>
      </c>
      <c r="U14" s="770">
        <f t="shared" si="1"/>
        <v>100</v>
      </c>
      <c r="V14" s="769" t="s">
        <v>21</v>
      </c>
      <c r="W14" s="770">
        <f t="shared" si="2"/>
        <v>100</v>
      </c>
      <c r="X14" s="771"/>
      <c r="Y14" s="3062"/>
      <c r="Z14" s="54">
        <f t="shared" si="7"/>
        <v>111</v>
      </c>
      <c r="AA14" s="772">
        <f t="shared" si="3"/>
        <v>1</v>
      </c>
      <c r="AB14" s="772">
        <f t="shared" si="4"/>
        <v>1</v>
      </c>
      <c r="AC14" s="772">
        <f t="shared" si="5"/>
        <v>1</v>
      </c>
    </row>
    <row r="15" spans="1:29" ht="99.75">
      <c r="A15" s="439" t="s">
        <v>2560</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10" t="s">
        <v>2561</v>
      </c>
      <c r="Q15" s="1808" t="str">
        <f t="shared" si="6"/>
        <v>居住社区成熟度</v>
      </c>
      <c r="R15" s="773" t="s">
        <v>21</v>
      </c>
      <c r="S15" s="774">
        <f t="shared" si="0"/>
        <v>100</v>
      </c>
      <c r="T15" s="773" t="s">
        <v>21</v>
      </c>
      <c r="U15" s="774">
        <f t="shared" si="1"/>
        <v>100</v>
      </c>
      <c r="V15" s="773" t="s">
        <v>21</v>
      </c>
      <c r="W15" s="774">
        <f t="shared" si="2"/>
        <v>100</v>
      </c>
      <c r="X15" s="1811"/>
      <c r="Y15" s="3212" t="s">
        <v>2561</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8"/>
      <c r="M16" s="1129"/>
      <c r="N16" s="1129"/>
      <c r="O16" s="1129"/>
      <c r="P16" s="3211"/>
      <c r="Q16" s="1808"/>
      <c r="R16" s="773"/>
      <c r="S16" s="774"/>
      <c r="T16" s="773"/>
      <c r="U16" s="774"/>
      <c r="V16" s="773"/>
      <c r="W16" s="774"/>
      <c r="X16" s="1811"/>
      <c r="Y16" s="3213"/>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11"/>
      <c r="Q17" s="1808" t="str">
        <f>B17</f>
        <v>交通便捷度</v>
      </c>
      <c r="R17" s="773" t="s">
        <v>21</v>
      </c>
      <c r="S17" s="774">
        <f>F17</f>
        <v>100</v>
      </c>
      <c r="T17" s="773" t="s">
        <v>21</v>
      </c>
      <c r="U17" s="774">
        <f>H17</f>
        <v>100</v>
      </c>
      <c r="V17" s="773" t="s">
        <v>21</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8"/>
      <c r="M18" s="1129"/>
      <c r="N18" s="1129"/>
      <c r="O18" s="1129"/>
      <c r="P18" s="3211"/>
      <c r="Q18" s="1808"/>
      <c r="R18" s="773"/>
      <c r="S18" s="774"/>
      <c r="T18" s="773"/>
      <c r="U18" s="774"/>
      <c r="V18" s="773"/>
      <c r="W18" s="774"/>
      <c r="X18" s="1811"/>
      <c r="Y18" s="3213"/>
      <c r="Z18" s="1812"/>
      <c r="AA18" s="1809">
        <v>1</v>
      </c>
      <c r="AB18" s="1809">
        <v>1</v>
      </c>
      <c r="AC18" s="1809">
        <v>1</v>
      </c>
    </row>
    <row r="19" spans="1:29" ht="42.75">
      <c r="A19" s="427"/>
      <c r="B19" s="450" t="s">
        <v>2096</v>
      </c>
      <c r="C19" s="2605" t="str">
        <f>估价对象房地状况!C7</f>
        <v>估价对象所在区域公共配套设施较齐备</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11"/>
      <c r="Q19" s="1808" t="str">
        <f>B19</f>
        <v>公共配套设施</v>
      </c>
      <c r="R19" s="773" t="s">
        <v>21</v>
      </c>
      <c r="S19" s="774">
        <f>F19</f>
        <v>100</v>
      </c>
      <c r="T19" s="773" t="s">
        <v>21</v>
      </c>
      <c r="U19" s="774">
        <f>H19</f>
        <v>100</v>
      </c>
      <c r="V19" s="773" t="s">
        <v>21</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8"/>
      <c r="M20" s="1129"/>
      <c r="N20" s="1129"/>
      <c r="O20" s="1129"/>
      <c r="P20" s="3211"/>
      <c r="Q20" s="1808"/>
      <c r="R20" s="773"/>
      <c r="S20" s="774"/>
      <c r="T20" s="773"/>
      <c r="U20" s="774"/>
      <c r="V20" s="773"/>
      <c r="W20" s="774"/>
      <c r="X20" s="1811"/>
      <c r="Y20" s="3213"/>
      <c r="Z20" s="1812"/>
      <c r="AA20" s="1809">
        <v>1</v>
      </c>
      <c r="AB20" s="1809">
        <v>1</v>
      </c>
      <c r="AC20" s="1809">
        <v>1</v>
      </c>
    </row>
    <row r="21" spans="1:29" ht="42.75">
      <c r="A21" s="427"/>
      <c r="B21" s="1382" t="s">
        <v>2099</v>
      </c>
      <c r="C21" s="2605"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7"/>
      <c r="G22" s="2609"/>
      <c r="H22" s="447"/>
      <c r="I22" s="446"/>
      <c r="J22" s="447"/>
      <c r="K22" s="2610"/>
      <c r="L22" s="1138"/>
      <c r="M22" s="1129"/>
      <c r="N22" s="1129"/>
      <c r="O22" s="1129"/>
      <c r="P22" s="3211"/>
      <c r="Q22" s="1808"/>
      <c r="R22" s="773"/>
      <c r="S22" s="774"/>
      <c r="T22" s="773"/>
      <c r="U22" s="774"/>
      <c r="V22" s="773"/>
      <c r="W22" s="774"/>
      <c r="X22" s="1811"/>
      <c r="Y22" s="3213"/>
      <c r="Z22" s="1812"/>
      <c r="AA22" s="1809">
        <v>1</v>
      </c>
      <c r="AB22" s="1809">
        <v>1</v>
      </c>
      <c r="AC22" s="1809">
        <v>1</v>
      </c>
    </row>
    <row r="23" spans="1:29" ht="57">
      <c r="A23" s="427"/>
      <c r="B23" s="450" t="s">
        <v>2103</v>
      </c>
      <c r="C23" s="2605" t="str">
        <f>估价对象房地状况!C9</f>
        <v>区域自然环境较好；人文环境一般；综合评价环境状况较好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11"/>
      <c r="Q23" s="1808" t="str">
        <f>B23</f>
        <v>自然及人文环境</v>
      </c>
      <c r="R23" s="773" t="s">
        <v>21</v>
      </c>
      <c r="S23" s="774">
        <f>F23</f>
        <v>100</v>
      </c>
      <c r="T23" s="773" t="s">
        <v>21</v>
      </c>
      <c r="U23" s="774">
        <f>H23</f>
        <v>100</v>
      </c>
      <c r="V23" s="773" t="s">
        <v>21</v>
      </c>
      <c r="W23" s="774">
        <f>J23</f>
        <v>100</v>
      </c>
      <c r="X23" s="1811"/>
      <c r="Y23" s="3213"/>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8"/>
      <c r="M24" s="1129"/>
      <c r="N24" s="1129"/>
      <c r="O24" s="1129"/>
      <c r="P24" s="3211"/>
      <c r="Q24" s="1808"/>
      <c r="R24" s="773"/>
      <c r="S24" s="774"/>
      <c r="T24" s="773"/>
      <c r="U24" s="774"/>
      <c r="V24" s="773"/>
      <c r="W24" s="774"/>
      <c r="X24" s="1811"/>
      <c r="Y24" s="3213"/>
      <c r="Z24" s="1812"/>
      <c r="AA24" s="1809">
        <v>1</v>
      </c>
      <c r="AB24" s="1809">
        <v>1</v>
      </c>
      <c r="AC24" s="1809">
        <v>1</v>
      </c>
    </row>
    <row r="25" spans="1:29" ht="15">
      <c r="A25" s="427"/>
      <c r="B25" s="421" t="s">
        <v>2562</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11"/>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3"/>
      <c r="Z25" s="1812" t="str">
        <f>Q25</f>
        <v>楼层-1</v>
      </c>
      <c r="AA25" s="1809">
        <f t="shared" ref="AA25:AA46" si="15">D25/F25</f>
        <v>1</v>
      </c>
      <c r="AB25" s="1809">
        <f t="shared" ref="AB25:AB46" si="16">D25/H25</f>
        <v>1</v>
      </c>
      <c r="AC25" s="1809">
        <f t="shared" ref="AC25:AC46" si="17">D25/J25</f>
        <v>1</v>
      </c>
    </row>
    <row r="26" spans="1:29" ht="15">
      <c r="A26" s="427"/>
      <c r="B26" s="421" t="s">
        <v>2563</v>
      </c>
      <c r="C26" s="459"/>
      <c r="D26" s="434">
        <v>100</v>
      </c>
      <c r="E26" s="2611"/>
      <c r="F26" s="434">
        <f>SUMIF(88:88,E26,89:89)-SUMIF(88:88,C26,89:89)+100</f>
        <v>100</v>
      </c>
      <c r="G26" s="2612"/>
      <c r="H26" s="434">
        <f>SUMIF(88:88,G26,89:89)-SUMIF(88:88,C26,89:89)+100</f>
        <v>100</v>
      </c>
      <c r="I26" s="2612"/>
      <c r="J26" s="434">
        <f>SUMIF(88:88,I26,89:89)-SUMIF(88:88,C26,89:89)+100</f>
        <v>100</v>
      </c>
      <c r="K26" s="425"/>
      <c r="L26" s="1138"/>
      <c r="M26" s="1129"/>
      <c r="N26" s="1129"/>
      <c r="O26" s="1129"/>
      <c r="P26" s="3211"/>
      <c r="Q26" s="1808" t="str">
        <f t="shared" si="11"/>
        <v>朝向</v>
      </c>
      <c r="R26" s="773" t="s">
        <v>21</v>
      </c>
      <c r="S26" s="774">
        <f t="shared" si="12"/>
        <v>100</v>
      </c>
      <c r="T26" s="773" t="s">
        <v>21</v>
      </c>
      <c r="U26" s="774">
        <f t="shared" si="13"/>
        <v>100</v>
      </c>
      <c r="V26" s="773" t="s">
        <v>21</v>
      </c>
      <c r="W26" s="774">
        <f t="shared" si="14"/>
        <v>100</v>
      </c>
      <c r="X26" s="1811"/>
      <c r="Y26" s="3213"/>
      <c r="Z26" s="1812" t="str">
        <f>Q26</f>
        <v>朝向</v>
      </c>
      <c r="AA26" s="1809">
        <f t="shared" si="15"/>
        <v>1</v>
      </c>
      <c r="AB26" s="1809">
        <f t="shared" si="16"/>
        <v>1</v>
      </c>
      <c r="AC26" s="1809">
        <f t="shared" si="17"/>
        <v>1</v>
      </c>
    </row>
    <row r="27" spans="1:29" s="116"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211"/>
      <c r="Q27" s="1793">
        <f t="shared" si="11"/>
        <v>111</v>
      </c>
      <c r="R27" s="769" t="s">
        <v>21</v>
      </c>
      <c r="S27" s="770">
        <f t="shared" si="12"/>
        <v>100</v>
      </c>
      <c r="T27" s="769" t="s">
        <v>21</v>
      </c>
      <c r="U27" s="770">
        <f t="shared" si="13"/>
        <v>100</v>
      </c>
      <c r="V27" s="769" t="s">
        <v>21</v>
      </c>
      <c r="W27" s="770">
        <f t="shared" si="14"/>
        <v>100</v>
      </c>
      <c r="X27" s="771"/>
      <c r="Y27" s="3213"/>
      <c r="Z27" s="54">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211"/>
      <c r="Q28" s="1808">
        <f t="shared" si="11"/>
        <v>111</v>
      </c>
      <c r="R28" s="773" t="s">
        <v>21</v>
      </c>
      <c r="S28" s="774">
        <f t="shared" si="12"/>
        <v>100</v>
      </c>
      <c r="T28" s="773" t="s">
        <v>21</v>
      </c>
      <c r="U28" s="774">
        <f t="shared" si="13"/>
        <v>100</v>
      </c>
      <c r="V28" s="773" t="s">
        <v>21</v>
      </c>
      <c r="W28" s="774">
        <f t="shared" si="14"/>
        <v>100</v>
      </c>
      <c r="X28" s="1811"/>
      <c r="Y28" s="321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211"/>
      <c r="Q29" s="1808">
        <f t="shared" si="11"/>
        <v>111</v>
      </c>
      <c r="R29" s="773" t="s">
        <v>21</v>
      </c>
      <c r="S29" s="774">
        <f t="shared" si="12"/>
        <v>100</v>
      </c>
      <c r="T29" s="773" t="s">
        <v>21</v>
      </c>
      <c r="U29" s="774">
        <f t="shared" si="13"/>
        <v>100</v>
      </c>
      <c r="V29" s="773" t="s">
        <v>21</v>
      </c>
      <c r="W29" s="774">
        <f t="shared" si="14"/>
        <v>100</v>
      </c>
      <c r="X29" s="1811"/>
      <c r="Y29" s="321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11"/>
      <c r="Q30" s="1808">
        <f t="shared" si="11"/>
        <v>111</v>
      </c>
      <c r="R30" s="773" t="s">
        <v>21</v>
      </c>
      <c r="S30" s="774">
        <f t="shared" si="12"/>
        <v>100</v>
      </c>
      <c r="T30" s="773" t="s">
        <v>21</v>
      </c>
      <c r="U30" s="774">
        <f t="shared" si="13"/>
        <v>100</v>
      </c>
      <c r="V30" s="773" t="s">
        <v>21</v>
      </c>
      <c r="W30" s="774">
        <f t="shared" si="14"/>
        <v>100</v>
      </c>
      <c r="X30" s="1811"/>
      <c r="Y30" s="321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11"/>
      <c r="Q31" s="1808">
        <f t="shared" si="11"/>
        <v>111</v>
      </c>
      <c r="R31" s="773" t="s">
        <v>21</v>
      </c>
      <c r="S31" s="774">
        <f t="shared" si="12"/>
        <v>100</v>
      </c>
      <c r="T31" s="773" t="s">
        <v>21</v>
      </c>
      <c r="U31" s="774">
        <f t="shared" si="13"/>
        <v>100</v>
      </c>
      <c r="V31" s="773" t="s">
        <v>21</v>
      </c>
      <c r="W31" s="774">
        <f t="shared" si="14"/>
        <v>100</v>
      </c>
      <c r="X31" s="1811"/>
      <c r="Y31" s="3213"/>
      <c r="Z31" s="1812">
        <f t="shared" si="18"/>
        <v>111</v>
      </c>
      <c r="AA31" s="1809">
        <f t="shared" si="15"/>
        <v>1</v>
      </c>
      <c r="AB31" s="1809">
        <f t="shared" si="16"/>
        <v>1</v>
      </c>
      <c r="AC31" s="1809">
        <f t="shared" si="17"/>
        <v>1</v>
      </c>
    </row>
    <row r="32" spans="1:29" ht="15">
      <c r="A32" s="439" t="s">
        <v>2564</v>
      </c>
      <c r="B32" s="70" t="s">
        <v>2565</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8"/>
      <c r="M32" s="1129"/>
      <c r="N32" s="1129"/>
      <c r="O32" s="1129"/>
      <c r="P32" s="3214" t="s">
        <v>2566</v>
      </c>
      <c r="Q32" s="1808" t="str">
        <f t="shared" si="11"/>
        <v>建筑类型</v>
      </c>
      <c r="R32" s="773" t="s">
        <v>21</v>
      </c>
      <c r="S32" s="774">
        <f t="shared" si="12"/>
        <v>100</v>
      </c>
      <c r="T32" s="773" t="s">
        <v>21</v>
      </c>
      <c r="U32" s="774">
        <f t="shared" si="13"/>
        <v>100</v>
      </c>
      <c r="V32" s="773" t="s">
        <v>21</v>
      </c>
      <c r="W32" s="774">
        <f t="shared" si="14"/>
        <v>100</v>
      </c>
      <c r="X32" s="1811"/>
      <c r="Y32" s="3217" t="s">
        <v>2566</v>
      </c>
      <c r="Z32" s="1812" t="str">
        <f t="shared" si="18"/>
        <v>建筑类型</v>
      </c>
      <c r="AA32" s="1809">
        <f t="shared" si="15"/>
        <v>1</v>
      </c>
      <c r="AB32" s="1809">
        <f t="shared" si="16"/>
        <v>1</v>
      </c>
      <c r="AC32" s="1809">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6"/>
      <c r="M33" s="1139"/>
      <c r="N33" s="1139"/>
      <c r="O33" s="1139"/>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09" t="e">
        <f t="shared" si="15"/>
        <v>#N/A</v>
      </c>
      <c r="AB33" s="1809" t="e">
        <f t="shared" si="16"/>
        <v>#N/A</v>
      </c>
      <c r="AC33" s="1809" t="e">
        <f t="shared" si="17"/>
        <v>#N/A</v>
      </c>
    </row>
    <row r="34" spans="1:29" ht="15">
      <c r="A34" s="471"/>
      <c r="B34" s="421" t="s">
        <v>2568</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8"/>
      <c r="M34" s="1129"/>
      <c r="N34" s="1129"/>
      <c r="O34" s="1129"/>
      <c r="P34" s="3215"/>
      <c r="Q34" s="1808" t="str">
        <f t="shared" si="11"/>
        <v>建筑结构</v>
      </c>
      <c r="R34" s="773" t="s">
        <v>21</v>
      </c>
      <c r="S34" s="774">
        <f t="shared" si="12"/>
        <v>100</v>
      </c>
      <c r="T34" s="773" t="s">
        <v>21</v>
      </c>
      <c r="U34" s="774">
        <f t="shared" si="13"/>
        <v>100</v>
      </c>
      <c r="V34" s="773" t="s">
        <v>21</v>
      </c>
      <c r="W34" s="774">
        <f t="shared" si="14"/>
        <v>100</v>
      </c>
      <c r="X34" s="1811"/>
      <c r="Y34" s="3217"/>
      <c r="Z34" s="1812" t="str">
        <f t="shared" si="18"/>
        <v>建筑结构</v>
      </c>
      <c r="AA34" s="1809">
        <f t="shared" si="15"/>
        <v>1</v>
      </c>
      <c r="AB34" s="1809">
        <f t="shared" si="16"/>
        <v>1</v>
      </c>
      <c r="AC34" s="1809">
        <f t="shared" si="17"/>
        <v>1</v>
      </c>
    </row>
    <row r="35" spans="1:29" ht="15">
      <c r="A35" s="471"/>
      <c r="B35" s="421" t="s">
        <v>2569</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8"/>
      <c r="M35" s="1129"/>
      <c r="N35" s="1129"/>
      <c r="O35" s="1129"/>
      <c r="P35" s="3215"/>
      <c r="Q35" s="1808" t="str">
        <f t="shared" si="11"/>
        <v>建筑品质</v>
      </c>
      <c r="R35" s="773" t="s">
        <v>21</v>
      </c>
      <c r="S35" s="774">
        <f t="shared" si="12"/>
        <v>100</v>
      </c>
      <c r="T35" s="773" t="s">
        <v>21</v>
      </c>
      <c r="U35" s="774">
        <f t="shared" si="13"/>
        <v>100</v>
      </c>
      <c r="V35" s="773" t="s">
        <v>21</v>
      </c>
      <c r="W35" s="774">
        <f t="shared" si="14"/>
        <v>100</v>
      </c>
      <c r="X35" s="1811"/>
      <c r="Y35" s="3217"/>
      <c r="Z35" s="1812" t="str">
        <f t="shared" si="18"/>
        <v>建筑品质</v>
      </c>
      <c r="AA35" s="1809">
        <f t="shared" si="15"/>
        <v>1</v>
      </c>
      <c r="AB35" s="1809">
        <f t="shared" si="16"/>
        <v>1</v>
      </c>
      <c r="AC35" s="1809">
        <f t="shared" si="17"/>
        <v>1</v>
      </c>
    </row>
    <row r="36" spans="1:29" ht="15">
      <c r="A36" s="471"/>
      <c r="B36" s="421" t="s">
        <v>2570</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8"/>
      <c r="M36" s="1129"/>
      <c r="N36" s="1129"/>
      <c r="O36" s="1129"/>
      <c r="P36" s="3215"/>
      <c r="Q36" s="1808" t="str">
        <f t="shared" si="11"/>
        <v>公共部分装修</v>
      </c>
      <c r="R36" s="773" t="s">
        <v>21</v>
      </c>
      <c r="S36" s="774">
        <f t="shared" si="12"/>
        <v>100</v>
      </c>
      <c r="T36" s="773" t="s">
        <v>21</v>
      </c>
      <c r="U36" s="774">
        <f t="shared" si="13"/>
        <v>100</v>
      </c>
      <c r="V36" s="773" t="s">
        <v>21</v>
      </c>
      <c r="W36" s="774">
        <f t="shared" si="14"/>
        <v>100</v>
      </c>
      <c r="X36" s="1811"/>
      <c r="Y36" s="3217"/>
      <c r="Z36" s="1812" t="str">
        <f t="shared" si="18"/>
        <v>公共部分装修</v>
      </c>
      <c r="AA36" s="1809">
        <f t="shared" si="15"/>
        <v>1</v>
      </c>
      <c r="AB36" s="1809">
        <f t="shared" si="16"/>
        <v>1</v>
      </c>
      <c r="AC36" s="1809">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15"/>
      <c r="Q37" s="1793" t="str">
        <f t="shared" si="11"/>
        <v>成新度</v>
      </c>
      <c r="R37" s="769" t="s">
        <v>21</v>
      </c>
      <c r="S37" s="770" t="e">
        <f t="shared" si="12"/>
        <v>#N/A</v>
      </c>
      <c r="T37" s="769" t="s">
        <v>21</v>
      </c>
      <c r="U37" s="770" t="e">
        <f t="shared" si="13"/>
        <v>#N/A</v>
      </c>
      <c r="V37" s="769" t="s">
        <v>21</v>
      </c>
      <c r="W37" s="770" t="e">
        <f t="shared" si="14"/>
        <v>#N/A</v>
      </c>
      <c r="X37" s="771"/>
      <c r="Y37" s="3217"/>
      <c r="Z37" s="54" t="str">
        <f t="shared" si="18"/>
        <v>成新度</v>
      </c>
      <c r="AA37" s="772" t="e">
        <f t="shared" si="15"/>
        <v>#N/A</v>
      </c>
      <c r="AB37" s="772" t="e">
        <f t="shared" si="16"/>
        <v>#N/A</v>
      </c>
      <c r="AC37" s="772" t="e">
        <f t="shared" si="17"/>
        <v>#N/A</v>
      </c>
    </row>
    <row r="38" spans="1:29" ht="15">
      <c r="A38" s="471"/>
      <c r="B38" s="421" t="s">
        <v>2572</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8"/>
      <c r="M38" s="1129"/>
      <c r="N38" s="1129"/>
      <c r="O38" s="1129"/>
      <c r="P38" s="3215" t="s">
        <v>2566</v>
      </c>
      <c r="Q38" s="1808" t="str">
        <f t="shared" si="11"/>
        <v>物业管理</v>
      </c>
      <c r="R38" s="773" t="s">
        <v>21</v>
      </c>
      <c r="S38" s="774">
        <f t="shared" si="12"/>
        <v>100</v>
      </c>
      <c r="T38" s="773" t="s">
        <v>21</v>
      </c>
      <c r="U38" s="774">
        <f t="shared" si="13"/>
        <v>100</v>
      </c>
      <c r="V38" s="773" t="s">
        <v>21</v>
      </c>
      <c r="W38" s="774">
        <f t="shared" si="14"/>
        <v>100</v>
      </c>
      <c r="X38" s="1811"/>
      <c r="Y38" s="3217" t="s">
        <v>2566</v>
      </c>
      <c r="Z38" s="1812" t="str">
        <f t="shared" si="18"/>
        <v>物业管理</v>
      </c>
      <c r="AA38" s="1809">
        <f t="shared" si="15"/>
        <v>1</v>
      </c>
      <c r="AB38" s="1809">
        <f t="shared" si="16"/>
        <v>1</v>
      </c>
      <c r="AC38" s="1809">
        <f t="shared" si="17"/>
        <v>1</v>
      </c>
    </row>
    <row r="39" spans="1:29" ht="15">
      <c r="A39" s="471"/>
      <c r="B39" s="421" t="s">
        <v>2573</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8"/>
      <c r="M39" s="1129"/>
      <c r="N39" s="1129"/>
      <c r="O39" s="1129"/>
      <c r="P39" s="3215"/>
      <c r="Q39" s="1808" t="str">
        <f t="shared" si="11"/>
        <v>市政基础设施</v>
      </c>
      <c r="R39" s="773" t="s">
        <v>21</v>
      </c>
      <c r="S39" s="774">
        <f t="shared" si="12"/>
        <v>100</v>
      </c>
      <c r="T39" s="773" t="s">
        <v>21</v>
      </c>
      <c r="U39" s="774">
        <f t="shared" si="13"/>
        <v>100</v>
      </c>
      <c r="V39" s="773" t="s">
        <v>21</v>
      </c>
      <c r="W39" s="774">
        <f t="shared" si="14"/>
        <v>100</v>
      </c>
      <c r="X39" s="1811"/>
      <c r="Y39" s="3217"/>
      <c r="Z39" s="1812" t="str">
        <f t="shared" si="18"/>
        <v>市政基础设施</v>
      </c>
      <c r="AA39" s="1809">
        <f t="shared" si="15"/>
        <v>1</v>
      </c>
      <c r="AB39" s="1809">
        <f t="shared" si="16"/>
        <v>1</v>
      </c>
      <c r="AC39" s="1809">
        <f t="shared" si="17"/>
        <v>1</v>
      </c>
    </row>
    <row r="40" spans="1:29" ht="15">
      <c r="A40" s="471"/>
      <c r="B40" s="421" t="s">
        <v>2574</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8"/>
      <c r="M40" s="1129"/>
      <c r="N40" s="1129"/>
      <c r="O40" s="1129"/>
      <c r="P40" s="3215"/>
      <c r="Q40" s="1808" t="str">
        <f t="shared" si="11"/>
        <v>房型</v>
      </c>
      <c r="R40" s="773" t="s">
        <v>21</v>
      </c>
      <c r="S40" s="774">
        <f t="shared" si="12"/>
        <v>100</v>
      </c>
      <c r="T40" s="773" t="s">
        <v>21</v>
      </c>
      <c r="U40" s="774">
        <f t="shared" si="13"/>
        <v>100</v>
      </c>
      <c r="V40" s="773" t="s">
        <v>21</v>
      </c>
      <c r="W40" s="774">
        <f t="shared" si="14"/>
        <v>100</v>
      </c>
      <c r="X40" s="1811"/>
      <c r="Y40" s="3217"/>
      <c r="Z40" s="1812" t="str">
        <f t="shared" si="18"/>
        <v>房型</v>
      </c>
      <c r="AA40" s="1809">
        <f t="shared" si="15"/>
        <v>1</v>
      </c>
      <c r="AB40" s="1809">
        <f t="shared" si="16"/>
        <v>1</v>
      </c>
      <c r="AC40" s="1809">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6"/>
      <c r="M41" s="1139"/>
      <c r="N41" s="1139"/>
      <c r="O41" s="1139"/>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09">
        <f t="shared" si="15"/>
        <v>1</v>
      </c>
      <c r="AB41" s="1809">
        <f t="shared" si="16"/>
        <v>1</v>
      </c>
      <c r="AC41" s="1809">
        <f t="shared" si="17"/>
        <v>1</v>
      </c>
    </row>
    <row r="42" spans="1:29" ht="15">
      <c r="A42" s="471"/>
      <c r="B42" s="421" t="s">
        <v>2576</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8"/>
      <c r="M42" s="1129"/>
      <c r="N42" s="1129"/>
      <c r="O42" s="1129"/>
      <c r="P42" s="3215"/>
      <c r="Q42" s="1808" t="str">
        <f t="shared" si="11"/>
        <v>内部装修</v>
      </c>
      <c r="R42" s="773" t="s">
        <v>21</v>
      </c>
      <c r="S42" s="774">
        <f t="shared" si="12"/>
        <v>100</v>
      </c>
      <c r="T42" s="773" t="s">
        <v>21</v>
      </c>
      <c r="U42" s="774">
        <f t="shared" si="13"/>
        <v>100</v>
      </c>
      <c r="V42" s="773" t="s">
        <v>21</v>
      </c>
      <c r="W42" s="774">
        <f t="shared" si="14"/>
        <v>100</v>
      </c>
      <c r="X42" s="1811"/>
      <c r="Y42" s="3217"/>
      <c r="Z42" s="1812" t="str">
        <f t="shared" si="18"/>
        <v>内部装修</v>
      </c>
      <c r="AA42" s="1809">
        <f t="shared" si="15"/>
        <v>1</v>
      </c>
      <c r="AB42" s="1809">
        <f t="shared" si="16"/>
        <v>1</v>
      </c>
      <c r="AC42" s="1809">
        <f t="shared" si="17"/>
        <v>1</v>
      </c>
    </row>
    <row r="43" spans="1:29" ht="15">
      <c r="A43" s="471"/>
      <c r="B43" s="421" t="s">
        <v>2577</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8"/>
      <c r="M43" s="1129"/>
      <c r="N43" s="1129"/>
      <c r="O43" s="1129"/>
      <c r="P43" s="3215"/>
      <c r="Q43" s="1808" t="str">
        <f t="shared" si="11"/>
        <v>内部装修维护情况</v>
      </c>
      <c r="R43" s="773" t="s">
        <v>21</v>
      </c>
      <c r="S43" s="774">
        <f t="shared" si="12"/>
        <v>100</v>
      </c>
      <c r="T43" s="773" t="s">
        <v>21</v>
      </c>
      <c r="U43" s="774">
        <f t="shared" si="13"/>
        <v>100</v>
      </c>
      <c r="V43" s="773" t="s">
        <v>21</v>
      </c>
      <c r="W43" s="774">
        <f t="shared" si="14"/>
        <v>100</v>
      </c>
      <c r="X43" s="1811"/>
      <c r="Y43" s="3217"/>
      <c r="Z43" s="1812" t="str">
        <f t="shared" si="18"/>
        <v>内部装修维护情况</v>
      </c>
      <c r="AA43" s="1809">
        <f t="shared" si="15"/>
        <v>1</v>
      </c>
      <c r="AB43" s="1809">
        <f t="shared" si="16"/>
        <v>1</v>
      </c>
      <c r="AC43" s="1809">
        <f t="shared" si="17"/>
        <v>1</v>
      </c>
    </row>
    <row r="44" spans="1:29" s="116"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215"/>
      <c r="Q44" s="1793">
        <f t="shared" si="11"/>
        <v>111</v>
      </c>
      <c r="R44" s="769" t="s">
        <v>21</v>
      </c>
      <c r="S44" s="770">
        <f t="shared" si="12"/>
        <v>100</v>
      </c>
      <c r="T44" s="769" t="s">
        <v>21</v>
      </c>
      <c r="U44" s="770">
        <f t="shared" si="13"/>
        <v>100</v>
      </c>
      <c r="V44" s="769" t="s">
        <v>21</v>
      </c>
      <c r="W44" s="770">
        <f t="shared" si="14"/>
        <v>100</v>
      </c>
      <c r="X44" s="771"/>
      <c r="Y44" s="3217"/>
      <c r="Z44" s="54">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15"/>
      <c r="Q45" s="1808">
        <f t="shared" si="11"/>
        <v>111</v>
      </c>
      <c r="R45" s="773" t="s">
        <v>21</v>
      </c>
      <c r="S45" s="774">
        <f t="shared" si="12"/>
        <v>100</v>
      </c>
      <c r="T45" s="773" t="s">
        <v>21</v>
      </c>
      <c r="U45" s="774">
        <f t="shared" si="13"/>
        <v>100</v>
      </c>
      <c r="V45" s="773" t="s">
        <v>21</v>
      </c>
      <c r="W45" s="774">
        <f t="shared" si="14"/>
        <v>100</v>
      </c>
      <c r="X45" s="1811"/>
      <c r="Y45" s="3217"/>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16"/>
      <c r="Q46" s="1808">
        <f t="shared" si="11"/>
        <v>111</v>
      </c>
      <c r="R46" s="773" t="s">
        <v>20</v>
      </c>
      <c r="S46" s="774">
        <f t="shared" si="12"/>
        <v>100</v>
      </c>
      <c r="T46" s="773" t="s">
        <v>20</v>
      </c>
      <c r="U46" s="774">
        <f t="shared" si="13"/>
        <v>100</v>
      </c>
      <c r="V46" s="773" t="s">
        <v>20</v>
      </c>
      <c r="W46" s="774">
        <f t="shared" si="14"/>
        <v>100</v>
      </c>
      <c r="X46" s="1811"/>
      <c r="Y46" s="3218"/>
      <c r="Z46" s="1812">
        <f t="shared" si="18"/>
        <v>111</v>
      </c>
      <c r="AA46" s="1809">
        <f t="shared" si="15"/>
        <v>1</v>
      </c>
      <c r="AB46" s="1809">
        <f t="shared" si="16"/>
        <v>1</v>
      </c>
      <c r="AC46" s="1809">
        <f t="shared" si="17"/>
        <v>1</v>
      </c>
    </row>
    <row r="47" spans="1:29" ht="15">
      <c r="A47" s="478" t="s">
        <v>2578</v>
      </c>
      <c r="B47" s="479"/>
      <c r="C47" s="1405" t="s">
        <v>19</v>
      </c>
      <c r="D47" s="1406"/>
      <c r="E47" s="1407"/>
      <c r="F47" s="1408"/>
      <c r="G47" s="1409"/>
      <c r="H47" s="1410"/>
      <c r="I47" s="1407"/>
      <c r="J47" s="1410"/>
      <c r="K47" s="2619"/>
      <c r="L47" s="1141"/>
      <c r="M47" s="1142"/>
      <c r="N47" s="1129"/>
      <c r="O47" s="1142"/>
      <c r="P47" s="3205" t="str">
        <f>A47</f>
        <v>成交单价（元/平方米）</v>
      </c>
      <c r="Q47" s="3205"/>
      <c r="R47" s="3206">
        <f>E47</f>
        <v>0</v>
      </c>
      <c r="S47" s="3206"/>
      <c r="T47" s="3206">
        <f>G47</f>
        <v>0</v>
      </c>
      <c r="U47" s="3206"/>
      <c r="V47" s="3206">
        <f>I47</f>
        <v>0</v>
      </c>
      <c r="W47" s="3206"/>
      <c r="X47" s="758"/>
      <c r="Y47" s="780"/>
      <c r="Z47" s="758"/>
      <c r="AA47" s="758"/>
      <c r="AB47" s="758"/>
      <c r="AC47" s="758"/>
    </row>
    <row r="48" spans="1:29" ht="15.75" thickBot="1">
      <c r="A48" s="485" t="s">
        <v>2579</v>
      </c>
      <c r="B48" s="486"/>
      <c r="C48" s="1411" t="e">
        <f>R49</f>
        <v>#DIV/0!</v>
      </c>
      <c r="D48" s="1412"/>
      <c r="E48" s="1413" t="e">
        <f>R48</f>
        <v>#DIV/0!</v>
      </c>
      <c r="F48" s="1413"/>
      <c r="G48" s="1411" t="e">
        <f>T48</f>
        <v>#DIV/0!</v>
      </c>
      <c r="H48" s="1412"/>
      <c r="I48" s="1413" t="e">
        <f>V48</f>
        <v>#DIV/0!</v>
      </c>
      <c r="J48" s="1412"/>
      <c r="K48" s="2620"/>
      <c r="L48" s="1141"/>
      <c r="M48" s="1142"/>
      <c r="N48" s="1142"/>
      <c r="O48" s="1142"/>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8"/>
      <c r="Y48" s="758"/>
      <c r="Z48" s="758"/>
      <c r="AA48" s="758"/>
      <c r="AB48" s="758"/>
      <c r="AC48" s="758"/>
    </row>
    <row r="49" spans="1:29" ht="15.75" thickBot="1">
      <c r="A49" s="491" t="s">
        <v>2580</v>
      </c>
      <c r="B49" s="492"/>
      <c r="C49" s="1414" t="e">
        <f>R49</f>
        <v>#DIV/0!</v>
      </c>
      <c r="D49" s="1415"/>
      <c r="E49" s="1415"/>
      <c r="F49" s="1415"/>
      <c r="G49" s="1415"/>
      <c r="H49" s="1415"/>
      <c r="I49" s="1415"/>
      <c r="J49" s="1415"/>
      <c r="K49" s="2621"/>
      <c r="L49" s="1141"/>
      <c r="M49" s="1142"/>
      <c r="N49" s="1142"/>
      <c r="O49" s="1142"/>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2" t="s">
        <v>2584</v>
      </c>
      <c r="B57" s="758"/>
      <c r="C57" s="763"/>
      <c r="D57" s="763"/>
      <c r="E57" s="763"/>
      <c r="F57" s="764"/>
      <c r="G57" s="764"/>
      <c r="H57" s="763"/>
      <c r="I57" s="763"/>
      <c r="J57" s="763"/>
      <c r="K57" s="1158"/>
      <c r="L57" s="1159"/>
      <c r="M57" s="1157"/>
      <c r="N57" s="1157"/>
      <c r="O57" s="1157"/>
      <c r="P57" s="2624"/>
      <c r="Q57" s="503"/>
    </row>
    <row r="58" spans="1:29" s="507" customFormat="1" ht="15">
      <c r="A58" s="504" t="s">
        <v>2585</v>
      </c>
      <c r="B58" s="505"/>
      <c r="C58" s="1574" t="str">
        <f>YEAR(C7)&amp;"-"&amp;MONTH(C7)</f>
        <v>2018-5</v>
      </c>
      <c r="D58" s="1573">
        <f>EDATE(C58,-1)</f>
        <v>43191</v>
      </c>
      <c r="E58" s="1573">
        <f>EDATE(D58,-1)</f>
        <v>43160</v>
      </c>
      <c r="F58" s="1573">
        <f t="shared" ref="F58:O58" si="19">EDATE(E58,-1)</f>
        <v>43132</v>
      </c>
      <c r="G58" s="1573">
        <f t="shared" si="19"/>
        <v>43101</v>
      </c>
      <c r="H58" s="1573">
        <f t="shared" si="19"/>
        <v>43070</v>
      </c>
      <c r="I58" s="1573">
        <f t="shared" si="19"/>
        <v>43040</v>
      </c>
      <c r="J58" s="1573">
        <f t="shared" si="19"/>
        <v>43009</v>
      </c>
      <c r="K58" s="1573">
        <f t="shared" si="19"/>
        <v>42979</v>
      </c>
      <c r="L58" s="1573">
        <f t="shared" si="19"/>
        <v>42948</v>
      </c>
      <c r="M58" s="1573">
        <f t="shared" si="19"/>
        <v>42917</v>
      </c>
      <c r="N58" s="1573">
        <f t="shared" si="19"/>
        <v>42887</v>
      </c>
      <c r="O58" s="1573">
        <f t="shared" si="19"/>
        <v>42856</v>
      </c>
      <c r="P58" s="1568"/>
    </row>
    <row r="59" spans="1:29" s="116" customFormat="1" ht="15">
      <c r="A59" s="508"/>
      <c r="B59" s="2625"/>
      <c r="C59" s="1571">
        <v>100</v>
      </c>
      <c r="D59" s="510"/>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2587</v>
      </c>
      <c r="B61" s="509"/>
      <c r="C61" s="521" t="s">
        <v>2588</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8"/>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59"/>
      <c r="E73" s="559"/>
      <c r="F73" s="559"/>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2611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8"/>
      <c r="Q87" s="503"/>
    </row>
    <row r="88" spans="1:17" s="116" customFormat="1" ht="15.75" thickTop="1">
      <c r="A88" s="578"/>
      <c r="B88" s="537" t="s">
        <v>2612</v>
      </c>
      <c r="C88" s="553"/>
      <c r="D88" s="553"/>
      <c r="E88" s="553"/>
      <c r="F88" s="2633"/>
      <c r="G88" s="553"/>
      <c r="H88" s="553"/>
      <c r="I88" s="553"/>
      <c r="J88" s="553"/>
      <c r="K88" s="553"/>
      <c r="L88" s="553"/>
      <c r="M88" s="580"/>
      <c r="N88" s="1149"/>
      <c r="O88" s="1149"/>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8"/>
      <c r="Q89" s="503"/>
    </row>
    <row r="90" spans="1:17" s="470" customFormat="1" ht="15.75" thickTop="1">
      <c r="A90" s="552"/>
      <c r="B90" s="537">
        <f>B27</f>
        <v>111</v>
      </c>
      <c r="C90" s="553"/>
      <c r="D90" s="553"/>
      <c r="E90" s="553"/>
      <c r="F90" s="553"/>
      <c r="G90" s="553"/>
      <c r="H90" s="554"/>
      <c r="I90" s="554"/>
      <c r="J90" s="554"/>
      <c r="K90" s="554"/>
      <c r="L90" s="555"/>
      <c r="M90" s="556"/>
      <c r="N90" s="1152"/>
      <c r="O90" s="1152"/>
      <c r="P90" s="2629"/>
      <c r="Q90" s="558"/>
    </row>
    <row r="91" spans="1:17" s="470" customFormat="1" ht="15.75" thickBot="1">
      <c r="A91" s="552"/>
      <c r="B91" s="542"/>
      <c r="C91" s="559"/>
      <c r="D91" s="559"/>
      <c r="E91" s="559"/>
      <c r="F91" s="559"/>
      <c r="G91" s="559"/>
      <c r="H91" s="561"/>
      <c r="I91" s="561"/>
      <c r="J91" s="561"/>
      <c r="K91" s="561"/>
      <c r="L91" s="561"/>
      <c r="M91" s="562"/>
      <c r="N91" s="1152"/>
      <c r="O91" s="1152"/>
      <c r="P91" s="2629"/>
      <c r="Q91" s="558"/>
    </row>
    <row r="92" spans="1:17" ht="15.75" thickTop="1">
      <c r="A92" s="533"/>
      <c r="B92" s="537">
        <f>B28</f>
        <v>111</v>
      </c>
      <c r="C92" s="553"/>
      <c r="D92" s="553"/>
      <c r="E92" s="553"/>
      <c r="F92" s="553"/>
      <c r="G92" s="582"/>
      <c r="H92" s="582"/>
      <c r="I92" s="582"/>
      <c r="J92" s="582"/>
      <c r="K92" s="583"/>
      <c r="L92" s="584"/>
      <c r="M92" s="585"/>
      <c r="N92" s="1150"/>
      <c r="O92" s="1150"/>
      <c r="P92" s="2628"/>
      <c r="Q92" s="503"/>
    </row>
    <row r="93" spans="1:17" ht="15.75" thickBot="1">
      <c r="A93" s="533"/>
      <c r="B93" s="542"/>
      <c r="C93" s="559"/>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59"/>
      <c r="E95" s="559"/>
      <c r="F95" s="559"/>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69"/>
      <c r="D97" s="569"/>
      <c r="E97" s="569"/>
      <c r="F97" s="569"/>
      <c r="G97" s="535"/>
      <c r="H97" s="535"/>
      <c r="I97" s="535"/>
      <c r="J97" s="535"/>
      <c r="K97" s="535"/>
      <c r="L97" s="535"/>
      <c r="M97" s="536"/>
      <c r="N97" s="1151"/>
      <c r="O97" s="1151"/>
      <c r="P97" s="2628"/>
      <c r="Q97" s="503"/>
    </row>
    <row r="98" spans="1:17" ht="15.75" thickTop="1">
      <c r="A98" s="533"/>
      <c r="B98" s="545">
        <f>B31</f>
        <v>111</v>
      </c>
      <c r="C98" s="586"/>
      <c r="D98" s="586"/>
      <c r="E98" s="586"/>
      <c r="F98" s="586"/>
      <c r="G98" s="586"/>
      <c r="H98" s="586"/>
      <c r="I98" s="586"/>
      <c r="J98" s="586"/>
      <c r="K98" s="587"/>
      <c r="L98" s="588"/>
      <c r="M98" s="589"/>
      <c r="N98" s="1150"/>
      <c r="O98" s="1150"/>
      <c r="P98" s="2628"/>
      <c r="Q98" s="503"/>
    </row>
    <row r="99" spans="1:17" ht="15.75" thickBot="1">
      <c r="A99" s="2634"/>
      <c r="B99" s="568"/>
      <c r="C99" s="590"/>
      <c r="D99" s="590"/>
      <c r="E99" s="590"/>
      <c r="F99" s="590"/>
      <c r="G99" s="590"/>
      <c r="H99" s="590"/>
      <c r="I99" s="590"/>
      <c r="J99" s="590"/>
      <c r="K99" s="590"/>
      <c r="L99" s="590"/>
      <c r="M99" s="591"/>
      <c r="N99" s="1151"/>
      <c r="O99" s="1151"/>
      <c r="P99" s="2628"/>
      <c r="Q99" s="503"/>
    </row>
    <row r="100" spans="1:17">
      <c r="A100" s="526" t="s">
        <v>2564</v>
      </c>
      <c r="B100" s="527" t="s">
        <v>2613</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8"/>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8"/>
      <c r="Q106" s="503"/>
    </row>
    <row r="107" spans="1:17" ht="15" thickTop="1">
      <c r="A107" s="598"/>
      <c r="B107" s="537" t="s">
        <v>2616</v>
      </c>
      <c r="C107" s="582"/>
      <c r="D107" s="582"/>
      <c r="E107" s="582"/>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8"/>
      <c r="Q108" s="503"/>
    </row>
    <row r="109" spans="1:17" ht="15" thickTop="1">
      <c r="A109" s="598"/>
      <c r="B109" s="537" t="s">
        <v>2617</v>
      </c>
      <c r="C109" s="553"/>
      <c r="D109" s="553"/>
      <c r="E109" s="553"/>
      <c r="F109" s="582"/>
      <c r="G109" s="582"/>
      <c r="H109" s="582"/>
      <c r="I109" s="582"/>
      <c r="J109" s="582"/>
      <c r="K109" s="583"/>
      <c r="L109" s="584"/>
      <c r="M109" s="585"/>
      <c r="N109" s="1150"/>
      <c r="O109" s="1150"/>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9"/>
      <c r="Q113" s="558"/>
    </row>
    <row r="114" spans="1:17" ht="15" thickTop="1">
      <c r="A114" s="598"/>
      <c r="B114" s="537" t="s">
        <v>2618</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8"/>
      <c r="Q115" s="503"/>
    </row>
    <row r="116" spans="1:17" ht="15" thickTop="1">
      <c r="A116" s="598"/>
      <c r="B116" s="537" t="s">
        <v>2619</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2620</v>
      </c>
      <c r="C118" s="582"/>
      <c r="D118" s="582"/>
      <c r="E118" s="582"/>
      <c r="F118" s="582"/>
      <c r="G118" s="582"/>
      <c r="H118" s="582"/>
      <c r="I118" s="582"/>
      <c r="J118" s="582"/>
      <c r="K118" s="583"/>
      <c r="L118" s="584"/>
      <c r="M118" s="585"/>
      <c r="N118" s="1150"/>
      <c r="O118" s="1150"/>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8"/>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9"/>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59"/>
      <c r="E129" s="559"/>
      <c r="F129" s="559"/>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5" t="s">
        <v>2626</v>
      </c>
      <c r="D138" s="145" t="s">
        <v>2627</v>
      </c>
      <c r="E138" s="2643" t="s">
        <v>2628</v>
      </c>
      <c r="F138" s="2644" t="s">
        <v>2629</v>
      </c>
      <c r="G138" s="145" t="s">
        <v>2627</v>
      </c>
      <c r="H138" s="146" t="s">
        <v>2628</v>
      </c>
      <c r="I138" s="2645"/>
      <c r="J138" s="145" t="s">
        <v>2630</v>
      </c>
      <c r="K138" s="146" t="s">
        <v>2631</v>
      </c>
    </row>
    <row r="139" spans="1:17" ht="15">
      <c r="B139" s="1082">
        <v>6</v>
      </c>
      <c r="C139" s="1083">
        <v>96</v>
      </c>
      <c r="D139" s="2646" t="s">
        <v>2632</v>
      </c>
      <c r="E139" s="1084">
        <v>100</v>
      </c>
      <c r="F139" s="1085">
        <v>102.5</v>
      </c>
      <c r="G139" s="2646" t="s">
        <v>2632</v>
      </c>
      <c r="H139" s="1086">
        <v>105</v>
      </c>
      <c r="I139" s="2647" t="s">
        <v>2633</v>
      </c>
      <c r="J139" s="1083">
        <v>20</v>
      </c>
      <c r="K139" s="1087">
        <f>C145/(J139-2)</f>
        <v>4.0555555555555553E-3</v>
      </c>
    </row>
    <row r="140" spans="1:17" ht="15">
      <c r="B140" s="1088">
        <v>5</v>
      </c>
      <c r="C140" s="1089">
        <v>100</v>
      </c>
      <c r="D140" s="1089"/>
      <c r="E140" s="1090"/>
      <c r="F140" s="1091">
        <v>102</v>
      </c>
      <c r="G140" s="1089"/>
      <c r="H140" s="1092"/>
      <c r="I140" s="2648" t="s">
        <v>2634</v>
      </c>
      <c r="J140" s="314">
        <f>ROUNDUP((J139-1)/2,0)</f>
        <v>10</v>
      </c>
      <c r="K140" s="1093">
        <v>100</v>
      </c>
    </row>
    <row r="141" spans="1:17" ht="15">
      <c r="B141" s="1088">
        <v>4</v>
      </c>
      <c r="C141" s="1089">
        <v>102</v>
      </c>
      <c r="D141" s="1089"/>
      <c r="E141" s="1090"/>
      <c r="F141" s="1091">
        <v>101.5</v>
      </c>
      <c r="G141" s="1089"/>
      <c r="H141" s="1092"/>
      <c r="I141" s="2648" t="s">
        <v>2635</v>
      </c>
      <c r="J141" s="314">
        <v>1</v>
      </c>
      <c r="K141" s="1094">
        <f>ROUND(100+(J141-J140)*K139*100,1)</f>
        <v>96.4</v>
      </c>
    </row>
    <row r="142" spans="1:17" ht="15">
      <c r="B142" s="1088">
        <v>3</v>
      </c>
      <c r="C142" s="1089">
        <v>103</v>
      </c>
      <c r="D142" s="1089"/>
      <c r="E142" s="1090"/>
      <c r="F142" s="1091">
        <v>101</v>
      </c>
      <c r="G142" s="1089"/>
      <c r="H142" s="1092"/>
      <c r="I142" s="2648" t="s">
        <v>2636</v>
      </c>
      <c r="J142" s="314">
        <f>J139</f>
        <v>20</v>
      </c>
      <c r="K142" s="1095">
        <v>95</v>
      </c>
    </row>
    <row r="143" spans="1:17" ht="15">
      <c r="B143" s="1088">
        <v>2</v>
      </c>
      <c r="C143" s="1089">
        <v>100</v>
      </c>
      <c r="D143" s="1089"/>
      <c r="E143" s="1090"/>
      <c r="F143" s="1091">
        <v>100.5</v>
      </c>
      <c r="G143" s="1089"/>
      <c r="H143" s="1092"/>
      <c r="I143" s="2648" t="s">
        <v>2637</v>
      </c>
      <c r="J143" s="1089">
        <v>15</v>
      </c>
      <c r="K143" s="1094">
        <f>ROUND(100+(J143-J140)*K139*100,1)</f>
        <v>102</v>
      </c>
    </row>
    <row r="144" spans="1:17" ht="15">
      <c r="B144" s="1088">
        <v>1</v>
      </c>
      <c r="C144" s="1089">
        <v>98</v>
      </c>
      <c r="D144" s="2649" t="s">
        <v>2638</v>
      </c>
      <c r="E144" s="1090">
        <v>102</v>
      </c>
      <c r="F144" s="1096">
        <v>100</v>
      </c>
      <c r="G144" s="2649" t="s">
        <v>2638</v>
      </c>
      <c r="H144" s="1092">
        <v>105</v>
      </c>
      <c r="I144" s="2648" t="s">
        <v>2637</v>
      </c>
      <c r="J144" s="1089">
        <v>18</v>
      </c>
      <c r="K144" s="1094">
        <f>ROUND(100+(J144-J140)*K139*100,1)</f>
        <v>103.2</v>
      </c>
    </row>
    <row r="145" spans="2:11" ht="15.75" thickBot="1">
      <c r="B145" s="2650" t="s">
        <v>2639</v>
      </c>
      <c r="C145" s="1097">
        <f>ROUND(MAX(C139:C144)/MIN(C139:C144)-1,3)</f>
        <v>7.2999999999999995E-2</v>
      </c>
      <c r="D145" s="1098"/>
      <c r="E145" s="1098"/>
      <c r="F145" s="2651" t="s">
        <v>2640</v>
      </c>
      <c r="G145" s="2652"/>
      <c r="H145" s="2653"/>
      <c r="I145" s="2654" t="s">
        <v>2637</v>
      </c>
      <c r="J145" s="1099">
        <v>8</v>
      </c>
      <c r="K145" s="1100">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580" t="s">
        <v>2643</v>
      </c>
      <c r="C1" s="1632" t="s">
        <v>2531</v>
      </c>
      <c r="D1" s="1619"/>
      <c r="E1" s="2655"/>
      <c r="F1" s="2582"/>
      <c r="G1" s="1629" t="s">
        <v>2644</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2328</v>
      </c>
      <c r="B2" s="1416" t="e">
        <f ca="1">IF(C2="——",ROUND(C49*D3/10000,0),ROUND(C49*D3/10000,0)-D2)</f>
        <v>#DIV/0!</v>
      </c>
      <c r="C2" s="2584"/>
      <c r="D2" s="1363" t="e">
        <f ca="1">SUMIF(INDIRECT("'"&amp;F2&amp;"'"&amp;"!A:A"),"承租人权益价值",INDIRECT("'"&amp;F2&amp;"'"&amp;"!c:c"))</f>
        <v>#REF!</v>
      </c>
      <c r="E2" s="2585" t="s">
        <v>2329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2330</v>
      </c>
      <c r="B3" s="608" t="e">
        <f ca="1">IF(C2="——",C49,ROUND(B2*10000/D3,0))</f>
        <v>#DIV/0!</v>
      </c>
      <c r="C3" s="399" t="s">
        <v>2645</v>
      </c>
      <c r="D3" s="398">
        <f>IF(D1="",'数据-汇总表'!E3,SUMIF('数据-汇总表'!$C19:$C33,D1,'数据-汇总表'!$E19:$E33))</f>
        <v>34007.5</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39"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39"/>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39"/>
      <c r="AC6" s="3252"/>
    </row>
    <row r="7" spans="1:29" s="116" customFormat="1" ht="15.75" thickBot="1">
      <c r="A7" s="407" t="s">
        <v>2549</v>
      </c>
      <c r="B7" s="408"/>
      <c r="C7" s="409">
        <f>'数据-取费表'!B2</f>
        <v>43236</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04"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04"/>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04"/>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04"/>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04"/>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04"/>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71.25">
      <c r="A15" s="439" t="s">
        <v>2560</v>
      </c>
      <c r="B15" s="68" t="s">
        <v>2654</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10" t="s">
        <v>2561</v>
      </c>
      <c r="Q15" s="1808" t="str">
        <f t="shared" si="6"/>
        <v>商业繁华度</v>
      </c>
      <c r="R15" s="773" t="s">
        <v>17</v>
      </c>
      <c r="S15" s="774">
        <f t="shared" si="0"/>
        <v>100</v>
      </c>
      <c r="T15" s="773" t="s">
        <v>17</v>
      </c>
      <c r="U15" s="774">
        <f t="shared" si="1"/>
        <v>100</v>
      </c>
      <c r="V15" s="773" t="s">
        <v>17</v>
      </c>
      <c r="W15" s="774">
        <f t="shared" si="2"/>
        <v>100</v>
      </c>
      <c r="X15" s="1811"/>
      <c r="Y15" s="3212" t="s">
        <v>2561</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11"/>
      <c r="Q16" s="1808"/>
      <c r="R16" s="773"/>
      <c r="S16" s="774"/>
      <c r="T16" s="773"/>
      <c r="U16" s="774"/>
      <c r="V16" s="773"/>
      <c r="W16" s="774"/>
      <c r="X16" s="1811"/>
      <c r="Y16" s="3213"/>
      <c r="Z16" s="1812"/>
      <c r="AA16" s="1809">
        <v>1</v>
      </c>
      <c r="AB16" s="1809">
        <v>1</v>
      </c>
      <c r="AC16" s="1809">
        <v>1</v>
      </c>
    </row>
    <row r="17" spans="1:29" ht="71.25">
      <c r="A17" s="427"/>
      <c r="B17" s="450" t="s">
        <v>2098</v>
      </c>
      <c r="C17" s="2605" t="str">
        <f>估价对象房地状况!C6</f>
        <v>估价对象周边道路通达、公共交通便捷、停车便捷，综合评价交通便捷度较好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11"/>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29"/>
      <c r="P18" s="3211"/>
      <c r="Q18" s="1808"/>
      <c r="R18" s="773"/>
      <c r="S18" s="774"/>
      <c r="T18" s="773"/>
      <c r="U18" s="774"/>
      <c r="V18" s="773"/>
      <c r="W18" s="774"/>
      <c r="X18" s="1811"/>
      <c r="Y18" s="3213"/>
      <c r="Z18" s="1812"/>
      <c r="AA18" s="1809">
        <v>1</v>
      </c>
      <c r="AB18" s="1809">
        <v>1</v>
      </c>
      <c r="AC18" s="1809">
        <v>1</v>
      </c>
    </row>
    <row r="19" spans="1:29" ht="42.75">
      <c r="A19" s="427"/>
      <c r="B19" s="450" t="s">
        <v>2655</v>
      </c>
      <c r="C19" s="2605" t="str">
        <f>估价对象房地状况!C7</f>
        <v>估价对象所在区域公共配套设施较齐备</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11"/>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29"/>
      <c r="P20" s="3211"/>
      <c r="Q20" s="1808"/>
      <c r="R20" s="773"/>
      <c r="S20" s="774"/>
      <c r="T20" s="773"/>
      <c r="U20" s="774"/>
      <c r="V20" s="773"/>
      <c r="W20" s="774"/>
      <c r="X20" s="1811"/>
      <c r="Y20" s="3213"/>
      <c r="Z20" s="1812"/>
      <c r="AA20" s="1809">
        <v>1</v>
      </c>
      <c r="AB20" s="1809">
        <v>1</v>
      </c>
      <c r="AC20" s="1809">
        <v>1</v>
      </c>
    </row>
    <row r="21" spans="1:29" ht="42.75">
      <c r="A21" s="427"/>
      <c r="B21" s="1382" t="s">
        <v>2656</v>
      </c>
      <c r="C21" s="2605" t="str">
        <f>估价对象房地状况!C8</f>
        <v>估价对象所在区域基础设施水平达七通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11"/>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29"/>
      <c r="P22" s="3211"/>
      <c r="Q22" s="1808"/>
      <c r="R22" s="773"/>
      <c r="S22" s="774"/>
      <c r="T22" s="773"/>
      <c r="U22" s="774"/>
      <c r="V22" s="773"/>
      <c r="W22" s="774"/>
      <c r="X22" s="1811"/>
      <c r="Y22" s="3213"/>
      <c r="Z22" s="1812"/>
      <c r="AA22" s="1809">
        <v>1</v>
      </c>
      <c r="AB22" s="1809">
        <v>1</v>
      </c>
      <c r="AC22" s="1809">
        <v>1</v>
      </c>
    </row>
    <row r="23" spans="1:29" ht="57">
      <c r="A23" s="427"/>
      <c r="B23" s="450" t="s">
        <v>2103</v>
      </c>
      <c r="C23" s="2662" t="str">
        <f>估价对象房地状况!C9</f>
        <v>区域自然环境较好；人文环境一般；综合评价环境状况较好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11"/>
      <c r="Q23" s="1808" t="str">
        <f>B23</f>
        <v>自然及人文环境</v>
      </c>
      <c r="R23" s="773" t="s">
        <v>17</v>
      </c>
      <c r="S23" s="774">
        <f>F23</f>
        <v>100</v>
      </c>
      <c r="T23" s="773" t="s">
        <v>17</v>
      </c>
      <c r="U23" s="774">
        <f>H23</f>
        <v>100</v>
      </c>
      <c r="V23" s="773" t="s">
        <v>17</v>
      </c>
      <c r="W23" s="774">
        <f>J23</f>
        <v>100</v>
      </c>
      <c r="X23" s="1811"/>
      <c r="Y23" s="3213"/>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8"/>
      <c r="M24" s="1129"/>
      <c r="N24" s="1129"/>
      <c r="O24" s="1129"/>
      <c r="P24" s="3211"/>
      <c r="Q24" s="1808"/>
      <c r="R24" s="773"/>
      <c r="S24" s="774"/>
      <c r="T24" s="773"/>
      <c r="U24" s="774"/>
      <c r="V24" s="773"/>
      <c r="W24" s="774"/>
      <c r="X24" s="1811"/>
      <c r="Y24" s="3213"/>
      <c r="Z24" s="1812"/>
      <c r="AA24" s="1809">
        <v>1</v>
      </c>
      <c r="AB24" s="1809">
        <v>1</v>
      </c>
      <c r="AC24" s="1809">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11"/>
      <c r="Q25" s="1808" t="str">
        <f t="shared" ref="Q25:Q46" si="11">B25</f>
        <v>临街状况</v>
      </c>
      <c r="R25" s="773" t="s">
        <v>17</v>
      </c>
      <c r="S25" s="774">
        <f>F25</f>
        <v>100</v>
      </c>
      <c r="T25" s="773" t="s">
        <v>17</v>
      </c>
      <c r="U25" s="774">
        <f>H25</f>
        <v>100</v>
      </c>
      <c r="V25" s="773" t="s">
        <v>17</v>
      </c>
      <c r="W25" s="774">
        <f>J25</f>
        <v>100</v>
      </c>
      <c r="X25" s="1811"/>
      <c r="Y25" s="3213"/>
      <c r="Z25" s="1812" t="str">
        <f>Q25</f>
        <v>临街状况</v>
      </c>
      <c r="AA25" s="1809">
        <f t="shared" si="3"/>
        <v>1</v>
      </c>
      <c r="AB25" s="1809">
        <f t="shared" si="4"/>
        <v>1</v>
      </c>
      <c r="AC25" s="1809">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11"/>
      <c r="Q26" s="1808" t="str">
        <f t="shared" si="11"/>
        <v>平面位置/可视性</v>
      </c>
      <c r="R26" s="773" t="s">
        <v>17</v>
      </c>
      <c r="S26" s="774">
        <f>F26</f>
        <v>100</v>
      </c>
      <c r="T26" s="773" t="s">
        <v>17</v>
      </c>
      <c r="U26" s="774">
        <f>H26</f>
        <v>100</v>
      </c>
      <c r="V26" s="773" t="s">
        <v>17</v>
      </c>
      <c r="W26" s="774">
        <f>J26</f>
        <v>100</v>
      </c>
      <c r="X26" s="1811"/>
      <c r="Y26" s="3213"/>
      <c r="Z26" s="1812" t="str">
        <f>Q26</f>
        <v>平面位置/可视性</v>
      </c>
      <c r="AA26" s="1809">
        <f t="shared" si="3"/>
        <v>1</v>
      </c>
      <c r="AB26" s="1809">
        <f t="shared" si="4"/>
        <v>1</v>
      </c>
      <c r="AC26" s="1809">
        <f t="shared" si="5"/>
        <v>1</v>
      </c>
    </row>
    <row r="27" spans="1:29" s="116" customFormat="1" ht="15">
      <c r="A27" s="430"/>
      <c r="B27" s="450" t="s">
        <v>2659</v>
      </c>
      <c r="C27" s="2663"/>
      <c r="D27" s="461">
        <v>100</v>
      </c>
      <c r="E27" s="2663"/>
      <c r="F27" s="463">
        <f>SUMIF(90:90,E27,91:91)-SUMIF(90:90,C27,91:91)+100</f>
        <v>100</v>
      </c>
      <c r="G27" s="2663"/>
      <c r="H27" s="461">
        <f>SUMIF(90:90,G27,91:91)-SUMIF(90:90,C27,91:91)+100</f>
        <v>100</v>
      </c>
      <c r="I27" s="2663"/>
      <c r="J27" s="461">
        <f>SUMIF(90:90,I27,91:91)-SUMIF(90:90,C27,91:91)+100</f>
        <v>100</v>
      </c>
      <c r="K27" s="611"/>
      <c r="L27" s="1130"/>
      <c r="M27" s="1131"/>
      <c r="N27" s="1131"/>
      <c r="O27" s="1131"/>
      <c r="P27" s="3211"/>
      <c r="Q27" s="1793" t="str">
        <f t="shared" si="11"/>
        <v>人流量</v>
      </c>
      <c r="R27" s="769" t="s">
        <v>17</v>
      </c>
      <c r="S27" s="770">
        <f>F27</f>
        <v>100</v>
      </c>
      <c r="T27" s="769" t="s">
        <v>17</v>
      </c>
      <c r="U27" s="770">
        <f>H27</f>
        <v>100</v>
      </c>
      <c r="V27" s="769" t="s">
        <v>17</v>
      </c>
      <c r="W27" s="770">
        <f>J27</f>
        <v>100</v>
      </c>
      <c r="X27" s="771"/>
      <c r="Y27" s="3213"/>
      <c r="Z27" s="54" t="str">
        <f>Q27</f>
        <v>人流量</v>
      </c>
      <c r="AA27" s="1809">
        <f>D27/F27</f>
        <v>1</v>
      </c>
      <c r="AB27" s="1809">
        <f>D27/H27</f>
        <v>1</v>
      </c>
      <c r="AC27" s="1809">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11"/>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11"/>
      <c r="Q29" s="1808">
        <f t="shared" si="11"/>
        <v>111</v>
      </c>
      <c r="R29" s="773" t="s">
        <v>17</v>
      </c>
      <c r="S29" s="774">
        <f t="shared" si="12"/>
        <v>100</v>
      </c>
      <c r="T29" s="773" t="s">
        <v>17</v>
      </c>
      <c r="U29" s="774">
        <f t="shared" si="13"/>
        <v>100</v>
      </c>
      <c r="V29" s="773" t="s">
        <v>17</v>
      </c>
      <c r="W29" s="774">
        <f t="shared" si="14"/>
        <v>100</v>
      </c>
      <c r="X29" s="1811"/>
      <c r="Y29" s="321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11"/>
      <c r="Q30" s="1808">
        <f t="shared" si="11"/>
        <v>111</v>
      </c>
      <c r="R30" s="773" t="s">
        <v>17</v>
      </c>
      <c r="S30" s="774">
        <f t="shared" si="12"/>
        <v>100</v>
      </c>
      <c r="T30" s="773" t="s">
        <v>17</v>
      </c>
      <c r="U30" s="774">
        <f t="shared" si="13"/>
        <v>100</v>
      </c>
      <c r="V30" s="773" t="s">
        <v>17</v>
      </c>
      <c r="W30" s="774">
        <f t="shared" si="14"/>
        <v>100</v>
      </c>
      <c r="X30" s="1811"/>
      <c r="Y30" s="321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11"/>
      <c r="Q31" s="1808">
        <f t="shared" si="11"/>
        <v>111</v>
      </c>
      <c r="R31" s="773" t="s">
        <v>17</v>
      </c>
      <c r="S31" s="774">
        <f t="shared" si="12"/>
        <v>100</v>
      </c>
      <c r="T31" s="773" t="s">
        <v>17</v>
      </c>
      <c r="U31" s="774">
        <f t="shared" si="13"/>
        <v>100</v>
      </c>
      <c r="V31" s="773" t="s">
        <v>17</v>
      </c>
      <c r="W31" s="774">
        <f t="shared" si="14"/>
        <v>100</v>
      </c>
      <c r="X31" s="1811"/>
      <c r="Y31" s="3213"/>
      <c r="Z31" s="1812">
        <f t="shared" si="15"/>
        <v>111</v>
      </c>
      <c r="AA31" s="1809">
        <f t="shared" si="3"/>
        <v>1</v>
      </c>
      <c r="AB31" s="1809">
        <f t="shared" si="4"/>
        <v>1</v>
      </c>
      <c r="AC31" s="1809">
        <f t="shared" si="5"/>
        <v>1</v>
      </c>
    </row>
    <row r="32" spans="1:29" ht="15">
      <c r="A32" s="439" t="s">
        <v>2564</v>
      </c>
      <c r="B32" s="70" t="s">
        <v>2661</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8"/>
      <c r="M32" s="1129"/>
      <c r="N32" s="1129"/>
      <c r="O32" s="1129"/>
      <c r="P32" s="3214" t="s">
        <v>2566</v>
      </c>
      <c r="Q32" s="1808" t="str">
        <f t="shared" si="11"/>
        <v>商业类型</v>
      </c>
      <c r="R32" s="773" t="s">
        <v>17</v>
      </c>
      <c r="S32" s="774">
        <f t="shared" si="12"/>
        <v>100</v>
      </c>
      <c r="T32" s="773" t="s">
        <v>17</v>
      </c>
      <c r="U32" s="774">
        <f t="shared" si="13"/>
        <v>100</v>
      </c>
      <c r="V32" s="773" t="s">
        <v>17</v>
      </c>
      <c r="W32" s="774">
        <f t="shared" si="14"/>
        <v>100</v>
      </c>
      <c r="X32" s="1811"/>
      <c r="Y32" s="3217" t="s">
        <v>2566</v>
      </c>
      <c r="Z32" s="1812" t="str">
        <f t="shared" si="15"/>
        <v>商业类型</v>
      </c>
      <c r="AA32" s="1809">
        <f t="shared" si="3"/>
        <v>1</v>
      </c>
      <c r="AB32" s="1809">
        <f t="shared" si="4"/>
        <v>1</v>
      </c>
      <c r="AC32" s="1809">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09" t="e">
        <f t="shared" si="3"/>
        <v>#N/A</v>
      </c>
      <c r="AB33" s="1809" t="e">
        <f t="shared" si="4"/>
        <v>#N/A</v>
      </c>
      <c r="AC33" s="1809" t="e">
        <f t="shared" si="5"/>
        <v>#N/A</v>
      </c>
    </row>
    <row r="34" spans="1:29" ht="15">
      <c r="A34" s="471"/>
      <c r="B34" s="421" t="s">
        <v>2568</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8"/>
      <c r="M34" s="1129"/>
      <c r="N34" s="1129"/>
      <c r="O34" s="1129"/>
      <c r="P34" s="3215"/>
      <c r="Q34" s="1808" t="str">
        <f t="shared" si="11"/>
        <v>建筑结构</v>
      </c>
      <c r="R34" s="773" t="s">
        <v>17</v>
      </c>
      <c r="S34" s="774">
        <f t="shared" si="12"/>
        <v>100</v>
      </c>
      <c r="T34" s="773" t="s">
        <v>17</v>
      </c>
      <c r="U34" s="774">
        <f t="shared" si="13"/>
        <v>100</v>
      </c>
      <c r="V34" s="773" t="s">
        <v>17</v>
      </c>
      <c r="W34" s="774">
        <f t="shared" si="14"/>
        <v>100</v>
      </c>
      <c r="X34" s="1811"/>
      <c r="Y34" s="3217"/>
      <c r="Z34" s="1812" t="str">
        <f t="shared" si="15"/>
        <v>建筑结构</v>
      </c>
      <c r="AA34" s="1809">
        <f t="shared" si="3"/>
        <v>1</v>
      </c>
      <c r="AB34" s="1809">
        <f t="shared" si="4"/>
        <v>1</v>
      </c>
      <c r="AC34" s="1809">
        <f t="shared" si="5"/>
        <v>1</v>
      </c>
    </row>
    <row r="35" spans="1:29" ht="15">
      <c r="A35" s="471"/>
      <c r="B35" s="421" t="s">
        <v>2662</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8"/>
      <c r="M35" s="1129"/>
      <c r="N35" s="1129"/>
      <c r="O35" s="1129"/>
      <c r="P35" s="3215"/>
      <c r="Q35" s="1808" t="str">
        <f t="shared" si="11"/>
        <v>公共部分装修</v>
      </c>
      <c r="R35" s="773" t="s">
        <v>17</v>
      </c>
      <c r="S35" s="774">
        <f t="shared" si="12"/>
        <v>100</v>
      </c>
      <c r="T35" s="773" t="s">
        <v>17</v>
      </c>
      <c r="U35" s="774">
        <f t="shared" si="13"/>
        <v>100</v>
      </c>
      <c r="V35" s="773" t="s">
        <v>17</v>
      </c>
      <c r="W35" s="774">
        <f t="shared" si="14"/>
        <v>100</v>
      </c>
      <c r="X35" s="1811"/>
      <c r="Y35" s="3217"/>
      <c r="Z35" s="1812" t="str">
        <f t="shared" si="15"/>
        <v>公共部分装修</v>
      </c>
      <c r="AA35" s="1809">
        <f t="shared" si="3"/>
        <v>1</v>
      </c>
      <c r="AB35" s="1809">
        <f t="shared" si="4"/>
        <v>1</v>
      </c>
      <c r="AC35" s="1809">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15"/>
      <c r="Q36" s="1808" t="str">
        <f t="shared" si="11"/>
        <v>成新度</v>
      </c>
      <c r="R36" s="773" t="s">
        <v>17</v>
      </c>
      <c r="S36" s="774" t="e">
        <f t="shared" si="12"/>
        <v>#N/A</v>
      </c>
      <c r="T36" s="773" t="s">
        <v>17</v>
      </c>
      <c r="U36" s="774" t="e">
        <f t="shared" si="13"/>
        <v>#N/A</v>
      </c>
      <c r="V36" s="773" t="s">
        <v>17</v>
      </c>
      <c r="W36" s="774" t="e">
        <f t="shared" si="14"/>
        <v>#N/A</v>
      </c>
      <c r="X36" s="1811"/>
      <c r="Y36" s="3217"/>
      <c r="Z36" s="1812" t="str">
        <f t="shared" si="15"/>
        <v>成新度</v>
      </c>
      <c r="AA36" s="1809" t="e">
        <f t="shared" si="3"/>
        <v>#N/A</v>
      </c>
      <c r="AB36" s="1809" t="e">
        <f t="shared" si="4"/>
        <v>#N/A</v>
      </c>
      <c r="AC36" s="1809" t="e">
        <f t="shared" si="5"/>
        <v>#N/A</v>
      </c>
    </row>
    <row r="37" spans="1:29" s="116" customFormat="1" ht="15">
      <c r="A37" s="472"/>
      <c r="B37" s="421" t="s">
        <v>2664</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0"/>
      <c r="M37" s="1131"/>
      <c r="N37" s="1131"/>
      <c r="O37" s="1131"/>
      <c r="P37" s="3215"/>
      <c r="Q37" s="1793" t="str">
        <f t="shared" si="11"/>
        <v>市政基础设施</v>
      </c>
      <c r="R37" s="769" t="s">
        <v>17</v>
      </c>
      <c r="S37" s="770">
        <f t="shared" si="12"/>
        <v>100</v>
      </c>
      <c r="T37" s="769" t="s">
        <v>17</v>
      </c>
      <c r="U37" s="770">
        <f t="shared" si="13"/>
        <v>100</v>
      </c>
      <c r="V37" s="769" t="s">
        <v>17</v>
      </c>
      <c r="W37" s="770">
        <f t="shared" si="14"/>
        <v>100</v>
      </c>
      <c r="X37" s="771"/>
      <c r="Y37" s="3217"/>
      <c r="Z37" s="54" t="str">
        <f t="shared" si="15"/>
        <v>市政基础设施</v>
      </c>
      <c r="AA37" s="772">
        <f t="shared" si="3"/>
        <v>1</v>
      </c>
      <c r="AB37" s="772">
        <f t="shared" si="4"/>
        <v>1</v>
      </c>
      <c r="AC37" s="772">
        <f t="shared" si="5"/>
        <v>1</v>
      </c>
    </row>
    <row r="38" spans="1:29" ht="15">
      <c r="A38" s="471"/>
      <c r="B38" s="421" t="s">
        <v>2665</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8"/>
      <c r="M38" s="1129"/>
      <c r="N38" s="1129"/>
      <c r="O38" s="1129"/>
      <c r="P38" s="3215" t="s">
        <v>2566</v>
      </c>
      <c r="Q38" s="1808" t="str">
        <f t="shared" si="11"/>
        <v>业态</v>
      </c>
      <c r="R38" s="773" t="s">
        <v>17</v>
      </c>
      <c r="S38" s="774">
        <f t="shared" si="12"/>
        <v>100</v>
      </c>
      <c r="T38" s="773" t="s">
        <v>17</v>
      </c>
      <c r="U38" s="774">
        <f t="shared" si="13"/>
        <v>100</v>
      </c>
      <c r="V38" s="773" t="s">
        <v>17</v>
      </c>
      <c r="W38" s="774">
        <f t="shared" si="14"/>
        <v>100</v>
      </c>
      <c r="X38" s="1811"/>
      <c r="Y38" s="3217" t="s">
        <v>2566</v>
      </c>
      <c r="Z38" s="1812" t="str">
        <f t="shared" si="15"/>
        <v>业态</v>
      </c>
      <c r="AA38" s="1809">
        <f t="shared" si="3"/>
        <v>1</v>
      </c>
      <c r="AB38" s="1809">
        <f t="shared" si="4"/>
        <v>1</v>
      </c>
      <c r="AC38" s="1809">
        <f t="shared" si="5"/>
        <v>1</v>
      </c>
    </row>
    <row r="39" spans="1:29" ht="15">
      <c r="A39" s="471"/>
      <c r="B39" s="421" t="s">
        <v>2666</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8"/>
      <c r="M39" s="1129"/>
      <c r="N39" s="1129"/>
      <c r="O39" s="1129"/>
      <c r="P39" s="3215"/>
      <c r="Q39" s="1808" t="str">
        <f t="shared" si="11"/>
        <v>层高</v>
      </c>
      <c r="R39" s="773" t="s">
        <v>17</v>
      </c>
      <c r="S39" s="774">
        <f t="shared" si="12"/>
        <v>100</v>
      </c>
      <c r="T39" s="773" t="s">
        <v>17</v>
      </c>
      <c r="U39" s="774">
        <f t="shared" si="13"/>
        <v>100</v>
      </c>
      <c r="V39" s="773" t="s">
        <v>17</v>
      </c>
      <c r="W39" s="774">
        <f t="shared" si="14"/>
        <v>100</v>
      </c>
      <c r="X39" s="1811"/>
      <c r="Y39" s="3217"/>
      <c r="Z39" s="1812" t="str">
        <f t="shared" si="15"/>
        <v>层高</v>
      </c>
      <c r="AA39" s="1809">
        <f t="shared" si="3"/>
        <v>1</v>
      </c>
      <c r="AB39" s="1809">
        <f t="shared" si="4"/>
        <v>1</v>
      </c>
      <c r="AC39" s="1809">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15"/>
      <c r="Q40" s="1808" t="str">
        <f t="shared" si="11"/>
        <v>单套建筑面积</v>
      </c>
      <c r="R40" s="773" t="s">
        <v>17</v>
      </c>
      <c r="S40" s="774">
        <f t="shared" si="12"/>
        <v>100</v>
      </c>
      <c r="T40" s="773" t="s">
        <v>17</v>
      </c>
      <c r="U40" s="774">
        <f t="shared" si="13"/>
        <v>100</v>
      </c>
      <c r="V40" s="773" t="s">
        <v>17</v>
      </c>
      <c r="W40" s="774">
        <f t="shared" si="14"/>
        <v>100</v>
      </c>
      <c r="X40" s="1811"/>
      <c r="Y40" s="3217"/>
      <c r="Z40" s="1812" t="str">
        <f t="shared" si="15"/>
        <v>单套建筑面积</v>
      </c>
      <c r="AA40" s="1809">
        <f t="shared" si="3"/>
        <v>1</v>
      </c>
      <c r="AB40" s="1809">
        <f t="shared" si="4"/>
        <v>1</v>
      </c>
      <c r="AC40" s="1809">
        <f t="shared" si="5"/>
        <v>1</v>
      </c>
    </row>
    <row r="41" spans="1:29" s="470" customFormat="1" ht="15">
      <c r="A41" s="467"/>
      <c r="B41" s="1810"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09">
        <f t="shared" si="3"/>
        <v>1</v>
      </c>
      <c r="AB41" s="1809">
        <f t="shared" si="4"/>
        <v>1</v>
      </c>
      <c r="AC41" s="1809">
        <f t="shared" si="5"/>
        <v>1</v>
      </c>
    </row>
    <row r="42" spans="1:29" ht="15">
      <c r="A42" s="471"/>
      <c r="B42" s="421" t="s">
        <v>2669</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8"/>
      <c r="M42" s="1129"/>
      <c r="N42" s="1129"/>
      <c r="O42" s="1129"/>
      <c r="P42" s="3215"/>
      <c r="Q42" s="1808" t="str">
        <f t="shared" si="11"/>
        <v>内部装修</v>
      </c>
      <c r="R42" s="773" t="s">
        <v>17</v>
      </c>
      <c r="S42" s="774">
        <f t="shared" si="12"/>
        <v>100</v>
      </c>
      <c r="T42" s="773" t="s">
        <v>17</v>
      </c>
      <c r="U42" s="774">
        <f t="shared" si="13"/>
        <v>100</v>
      </c>
      <c r="V42" s="773" t="s">
        <v>17</v>
      </c>
      <c r="W42" s="774">
        <f t="shared" si="14"/>
        <v>100</v>
      </c>
      <c r="X42" s="1811"/>
      <c r="Y42" s="3217"/>
      <c r="Z42" s="1812" t="str">
        <f t="shared" si="15"/>
        <v>内部装修</v>
      </c>
      <c r="AA42" s="1809">
        <f t="shared" si="3"/>
        <v>1</v>
      </c>
      <c r="AB42" s="1809">
        <f t="shared" si="4"/>
        <v>1</v>
      </c>
      <c r="AC42" s="1809">
        <f t="shared" si="5"/>
        <v>1</v>
      </c>
    </row>
    <row r="43" spans="1:29" ht="15">
      <c r="A43" s="471"/>
      <c r="B43" s="421" t="s">
        <v>2577</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8"/>
      <c r="M43" s="1129"/>
      <c r="N43" s="1129"/>
      <c r="O43" s="1129"/>
      <c r="P43" s="3215"/>
      <c r="Q43" s="1808" t="str">
        <f t="shared" si="11"/>
        <v>内部装修维护情况</v>
      </c>
      <c r="R43" s="773" t="s">
        <v>17</v>
      </c>
      <c r="S43" s="774">
        <f t="shared" si="12"/>
        <v>100</v>
      </c>
      <c r="T43" s="773" t="s">
        <v>17</v>
      </c>
      <c r="U43" s="774">
        <f t="shared" si="13"/>
        <v>100</v>
      </c>
      <c r="V43" s="773" t="s">
        <v>17</v>
      </c>
      <c r="W43" s="774">
        <f t="shared" si="14"/>
        <v>100</v>
      </c>
      <c r="X43" s="1811"/>
      <c r="Y43" s="3217"/>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15"/>
      <c r="Q44" s="1793">
        <f t="shared" si="11"/>
        <v>111</v>
      </c>
      <c r="R44" s="769" t="s">
        <v>17</v>
      </c>
      <c r="S44" s="770">
        <f t="shared" si="12"/>
        <v>100</v>
      </c>
      <c r="T44" s="769" t="s">
        <v>17</v>
      </c>
      <c r="U44" s="770">
        <f t="shared" si="13"/>
        <v>100</v>
      </c>
      <c r="V44" s="769" t="s">
        <v>17</v>
      </c>
      <c r="W44" s="770">
        <f t="shared" si="14"/>
        <v>100</v>
      </c>
      <c r="X44" s="771"/>
      <c r="Y44" s="3217"/>
      <c r="Z44" s="54">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5"/>
      <c r="Q45" s="1808">
        <f t="shared" si="11"/>
        <v>111</v>
      </c>
      <c r="R45" s="773" t="s">
        <v>17</v>
      </c>
      <c r="S45" s="774">
        <f t="shared" si="12"/>
        <v>100</v>
      </c>
      <c r="T45" s="773" t="s">
        <v>17</v>
      </c>
      <c r="U45" s="774">
        <f t="shared" si="13"/>
        <v>100</v>
      </c>
      <c r="V45" s="773" t="s">
        <v>17</v>
      </c>
      <c r="W45" s="774">
        <f t="shared" si="14"/>
        <v>100</v>
      </c>
      <c r="X45" s="1811"/>
      <c r="Y45" s="3217"/>
      <c r="Z45" s="1812">
        <f t="shared" si="15"/>
        <v>111</v>
      </c>
      <c r="AA45" s="1809">
        <f t="shared" si="3"/>
        <v>1</v>
      </c>
      <c r="AB45" s="1809">
        <f t="shared" si="4"/>
        <v>1</v>
      </c>
      <c r="AC45" s="1809">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16"/>
      <c r="Q46" s="1808">
        <f t="shared" si="11"/>
        <v>111</v>
      </c>
      <c r="R46" s="773" t="s">
        <v>17</v>
      </c>
      <c r="S46" s="774">
        <f t="shared" si="12"/>
        <v>100</v>
      </c>
      <c r="T46" s="773" t="s">
        <v>17</v>
      </c>
      <c r="U46" s="774">
        <f t="shared" si="13"/>
        <v>100</v>
      </c>
      <c r="V46" s="773" t="s">
        <v>17</v>
      </c>
      <c r="W46" s="774">
        <f t="shared" si="14"/>
        <v>100</v>
      </c>
      <c r="X46" s="1811"/>
      <c r="Y46" s="3218"/>
      <c r="Z46" s="1812">
        <f t="shared" si="15"/>
        <v>111</v>
      </c>
      <c r="AA46" s="1809">
        <f t="shared" si="3"/>
        <v>1</v>
      </c>
      <c r="AB46" s="1809">
        <f t="shared" si="4"/>
        <v>1</v>
      </c>
      <c r="AC46" s="1809">
        <f t="shared" si="5"/>
        <v>1</v>
      </c>
    </row>
    <row r="47" spans="1:29" ht="15">
      <c r="A47" s="478" t="s">
        <v>2578</v>
      </c>
      <c r="B47" s="479"/>
      <c r="C47" s="1405" t="s">
        <v>1</v>
      </c>
      <c r="D47" s="1406"/>
      <c r="E47" s="1407"/>
      <c r="F47" s="1408"/>
      <c r="G47" s="1409"/>
      <c r="H47" s="1410"/>
      <c r="I47" s="1407"/>
      <c r="J47" s="1410"/>
      <c r="K47" s="782"/>
      <c r="L47" s="1141"/>
      <c r="M47" s="1142"/>
      <c r="N47" s="1129"/>
      <c r="O47" s="1142"/>
      <c r="P47" s="3205" t="str">
        <f>A47</f>
        <v>成交单价（元/平方米）</v>
      </c>
      <c r="Q47" s="3205"/>
      <c r="R47" s="3239">
        <f>E47</f>
        <v>0</v>
      </c>
      <c r="S47" s="3239"/>
      <c r="T47" s="3239">
        <f>G47</f>
        <v>0</v>
      </c>
      <c r="U47" s="3239"/>
      <c r="V47" s="3239">
        <f>I47</f>
        <v>0</v>
      </c>
      <c r="W47" s="3239"/>
      <c r="X47" s="758"/>
      <c r="Y47" s="780"/>
      <c r="Z47" s="758"/>
      <c r="AA47" s="758"/>
      <c r="AB47" s="758"/>
      <c r="AC47" s="758"/>
    </row>
    <row r="48" spans="1:29" ht="15.75" thickBot="1">
      <c r="A48" s="485" t="s">
        <v>2670</v>
      </c>
      <c r="B48" s="486"/>
      <c r="C48" s="1411" t="e">
        <f>R49</f>
        <v>#DIV/0!</v>
      </c>
      <c r="D48" s="1412"/>
      <c r="E48" s="1413" t="e">
        <f>R48</f>
        <v>#DIV/0!</v>
      </c>
      <c r="F48" s="1413"/>
      <c r="G48" s="1411" t="e">
        <f>T48</f>
        <v>#DIV/0!</v>
      </c>
      <c r="H48" s="1412"/>
      <c r="I48" s="1413" t="e">
        <f>V48</f>
        <v>#DIV/0!</v>
      </c>
      <c r="J48" s="1412"/>
      <c r="K48" s="783"/>
      <c r="L48" s="1141"/>
      <c r="M48" s="1142"/>
      <c r="N48" s="1129"/>
      <c r="O48" s="1142"/>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8"/>
      <c r="Y48" s="758"/>
      <c r="Z48" s="758"/>
      <c r="AA48" s="758"/>
      <c r="AB48" s="758"/>
      <c r="AC48" s="758"/>
    </row>
    <row r="49" spans="1:29" ht="15.75" thickBot="1">
      <c r="A49" s="491" t="s">
        <v>2671</v>
      </c>
      <c r="B49" s="492"/>
      <c r="C49" s="1415" t="e">
        <f>R49</f>
        <v>#DIV/0!</v>
      </c>
      <c r="D49" s="1415"/>
      <c r="E49" s="1415"/>
      <c r="F49" s="1415"/>
      <c r="G49" s="1415"/>
      <c r="H49" s="1415"/>
      <c r="I49" s="1415"/>
      <c r="J49" s="1415"/>
      <c r="K49" s="784"/>
      <c r="L49" s="1141"/>
      <c r="M49" s="1142"/>
      <c r="N49" s="1129"/>
      <c r="O49" s="1142"/>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4"/>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4"/>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59"/>
      <c r="M57" s="1157"/>
      <c r="N57" s="1157"/>
      <c r="O57" s="1157"/>
      <c r="P57" s="2665"/>
      <c r="Q57" s="2666"/>
      <c r="R57" s="758"/>
      <c r="S57" s="758"/>
      <c r="T57" s="758"/>
      <c r="U57" s="758"/>
      <c r="V57" s="758"/>
      <c r="W57" s="758"/>
      <c r="X57" s="758"/>
      <c r="Y57" s="758"/>
      <c r="Z57" s="758"/>
      <c r="AA57" s="758"/>
      <c r="AB57" s="758"/>
      <c r="AC57" s="758"/>
    </row>
    <row r="58" spans="1:29" s="507" customFormat="1" ht="15">
      <c r="A58" s="504" t="s">
        <v>2549</v>
      </c>
      <c r="B58" s="505"/>
      <c r="C58" s="1572" t="str">
        <f>YEAR(C7)&amp;"-"&amp;MONTH(C7)</f>
        <v>2018-5</v>
      </c>
      <c r="D58" s="1573">
        <f>EDATE(C58,-1)</f>
        <v>43191</v>
      </c>
      <c r="E58" s="1573">
        <f t="shared" ref="E58:N58" si="16">EDATE(D58,-1)</f>
        <v>43160</v>
      </c>
      <c r="F58" s="1573">
        <f t="shared" si="16"/>
        <v>43132</v>
      </c>
      <c r="G58" s="1573">
        <f t="shared" si="16"/>
        <v>43101</v>
      </c>
      <c r="H58" s="1573">
        <f t="shared" si="16"/>
        <v>43070</v>
      </c>
      <c r="I58" s="1573">
        <f t="shared" si="16"/>
        <v>43040</v>
      </c>
      <c r="J58" s="1573">
        <f t="shared" si="16"/>
        <v>43009</v>
      </c>
      <c r="K58" s="1573">
        <f t="shared" si="16"/>
        <v>42979</v>
      </c>
      <c r="L58" s="1573">
        <f t="shared" si="16"/>
        <v>42948</v>
      </c>
      <c r="M58" s="1573">
        <f t="shared" si="16"/>
        <v>42917</v>
      </c>
      <c r="N58" s="1573">
        <f t="shared" si="16"/>
        <v>42887</v>
      </c>
      <c r="O58" s="1573">
        <f>EDATE(N58,-1)</f>
        <v>42856</v>
      </c>
      <c r="P58" s="1568"/>
    </row>
    <row r="59" spans="1:29" s="116" customFormat="1" ht="15">
      <c r="A59" s="508"/>
      <c r="B59" s="509"/>
      <c r="C59" s="1571">
        <v>100</v>
      </c>
      <c r="D59" s="511"/>
      <c r="E59" s="511"/>
      <c r="F59" s="511"/>
      <c r="G59" s="511"/>
      <c r="H59" s="511"/>
      <c r="I59" s="511"/>
      <c r="J59" s="511"/>
      <c r="K59" s="511"/>
      <c r="L59" s="511"/>
      <c r="M59" s="512"/>
      <c r="N59" s="511"/>
      <c r="O59" s="512"/>
      <c r="P59" s="2626"/>
    </row>
    <row r="60" spans="1:29" s="116" customFormat="1" ht="15.75" thickBot="1">
      <c r="A60" s="514" t="s">
        <v>2586</v>
      </c>
      <c r="B60" s="515"/>
      <c r="C60" s="516"/>
      <c r="D60" s="517"/>
      <c r="E60" s="517"/>
      <c r="F60" s="517"/>
      <c r="G60" s="517"/>
      <c r="H60" s="517"/>
      <c r="I60" s="517"/>
      <c r="J60" s="517"/>
      <c r="K60" s="517"/>
      <c r="L60" s="517"/>
      <c r="M60" s="518"/>
      <c r="N60" s="517"/>
      <c r="O60" s="518"/>
      <c r="P60" s="2626"/>
      <c r="Q60" s="503"/>
    </row>
    <row r="61" spans="1:29" s="116" customFormat="1" ht="15">
      <c r="A61" s="520" t="s">
        <v>2551</v>
      </c>
      <c r="B61" s="509"/>
      <c r="C61" s="521" t="s">
        <v>2653</v>
      </c>
      <c r="D61" s="522"/>
      <c r="E61" s="522"/>
      <c r="F61" s="522"/>
      <c r="G61" s="522"/>
      <c r="H61" s="522"/>
      <c r="I61" s="522"/>
      <c r="J61" s="522"/>
      <c r="K61" s="522"/>
      <c r="L61" s="523"/>
      <c r="M61" s="524"/>
      <c r="N61" s="1149"/>
      <c r="O61" s="1149"/>
      <c r="P61" s="2627"/>
      <c r="Q61" s="503"/>
    </row>
    <row r="62" spans="1:29" s="116"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2589</v>
      </c>
      <c r="B63" s="527" t="s">
        <v>2555</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8"/>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35"/>
      <c r="E73" s="535"/>
      <c r="F73" s="535"/>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8"/>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6" customFormat="1" ht="15.75" thickTop="1">
      <c r="A86" s="578"/>
      <c r="B86" s="537" t="s">
        <v>2681</v>
      </c>
      <c r="C86" s="553"/>
      <c r="D86" s="553"/>
      <c r="E86" s="553"/>
      <c r="F86" s="553"/>
      <c r="G86" s="553"/>
      <c r="H86" s="553"/>
      <c r="I86" s="553"/>
      <c r="J86" s="553"/>
      <c r="K86" s="553"/>
      <c r="L86" s="579"/>
      <c r="M86" s="580"/>
      <c r="N86" s="1149"/>
      <c r="O86" s="1149"/>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49"/>
      <c r="O88" s="1149"/>
      <c r="P88" s="2628"/>
      <c r="Q88" s="503"/>
    </row>
    <row r="89" spans="1:17" s="116" customFormat="1" ht="15.75" thickBot="1">
      <c r="A89" s="578"/>
      <c r="B89" s="542"/>
      <c r="C89" s="559"/>
      <c r="D89" s="535"/>
      <c r="E89" s="535"/>
      <c r="F89" s="535"/>
      <c r="G89" s="535"/>
      <c r="H89" s="535"/>
      <c r="I89" s="535"/>
      <c r="J89" s="535"/>
      <c r="K89" s="535"/>
      <c r="L89" s="535"/>
      <c r="M89" s="535"/>
      <c r="N89" s="1151"/>
      <c r="O89" s="1151"/>
      <c r="P89" s="2628"/>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9"/>
      <c r="Q91" s="558"/>
    </row>
    <row r="92" spans="1:17" ht="15.75" thickTop="1">
      <c r="A92" s="533"/>
      <c r="B92" s="537" t="str">
        <f>B28</f>
        <v>楼层</v>
      </c>
      <c r="C92" s="553"/>
      <c r="D92" s="553"/>
      <c r="E92" s="553"/>
      <c r="F92" s="553"/>
      <c r="G92" s="553"/>
      <c r="H92" s="553"/>
      <c r="I92" s="553"/>
      <c r="J92" s="553"/>
      <c r="K92" s="553"/>
      <c r="L92" s="579"/>
      <c r="M92" s="580"/>
      <c r="N92" s="1150"/>
      <c r="O92" s="1150"/>
      <c r="P92" s="2628"/>
      <c r="Q92" s="503"/>
    </row>
    <row r="93" spans="1:17" ht="15.75" thickBot="1">
      <c r="A93" s="533"/>
      <c r="B93" s="542"/>
      <c r="C93" s="535"/>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35"/>
      <c r="E95" s="535"/>
      <c r="F95" s="535"/>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59"/>
      <c r="D97" s="535"/>
      <c r="E97" s="535"/>
      <c r="F97" s="535"/>
      <c r="G97" s="535"/>
      <c r="H97" s="535"/>
      <c r="I97" s="535"/>
      <c r="J97" s="535"/>
      <c r="K97" s="535"/>
      <c r="L97" s="535"/>
      <c r="M97" s="536"/>
      <c r="N97" s="1151"/>
      <c r="O97" s="1151"/>
      <c r="P97" s="2628"/>
      <c r="Q97" s="503"/>
    </row>
    <row r="98" spans="1:17" ht="15.75" thickTop="1">
      <c r="A98" s="533"/>
      <c r="B98" s="545">
        <f>B31</f>
        <v>111</v>
      </c>
      <c r="C98" s="553"/>
      <c r="D98" s="553"/>
      <c r="E98" s="553"/>
      <c r="F98" s="553"/>
      <c r="G98" s="586"/>
      <c r="H98" s="586"/>
      <c r="I98" s="586"/>
      <c r="J98" s="586"/>
      <c r="K98" s="587"/>
      <c r="L98" s="588"/>
      <c r="M98" s="589"/>
      <c r="N98" s="1150"/>
      <c r="O98" s="1150"/>
      <c r="P98" s="2628"/>
      <c r="Q98" s="503"/>
    </row>
    <row r="99" spans="1:17" ht="15.75" thickBot="1">
      <c r="A99" s="2634"/>
      <c r="B99" s="568"/>
      <c r="C99" s="569"/>
      <c r="D99" s="569"/>
      <c r="E99" s="569"/>
      <c r="F99" s="569"/>
      <c r="G99" s="590"/>
      <c r="H99" s="590"/>
      <c r="I99" s="590"/>
      <c r="J99" s="590"/>
      <c r="K99" s="590"/>
      <c r="L99" s="590"/>
      <c r="M99" s="591"/>
      <c r="N99" s="1151"/>
      <c r="O99" s="1151"/>
      <c r="P99" s="2628"/>
      <c r="Q99" s="503"/>
    </row>
    <row r="100" spans="1:17">
      <c r="A100" s="526" t="s">
        <v>2564</v>
      </c>
      <c r="B100" s="527" t="s">
        <v>2682</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8"/>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9"/>
      <c r="Q104" s="558"/>
    </row>
    <row r="105" spans="1:17" ht="15" thickTop="1">
      <c r="A105" s="598"/>
      <c r="B105" s="537" t="s">
        <v>2615</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8"/>
      <c r="Q106" s="503"/>
    </row>
    <row r="107" spans="1:17" ht="15" thickTop="1">
      <c r="A107" s="598"/>
      <c r="B107" s="537" t="s">
        <v>2617</v>
      </c>
      <c r="C107" s="553"/>
      <c r="D107" s="553"/>
      <c r="E107" s="553"/>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8"/>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9"/>
      <c r="Q113" s="558"/>
    </row>
    <row r="114" spans="1:17" ht="15" thickTop="1">
      <c r="A114" s="598"/>
      <c r="B114" s="537" t="s">
        <v>2683</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8"/>
      <c r="Q115" s="503"/>
    </row>
    <row r="116" spans="1:17" ht="15" thickTop="1">
      <c r="A116" s="598"/>
      <c r="B116" s="537" t="s">
        <v>2684</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2685</v>
      </c>
      <c r="C118" s="626"/>
      <c r="D118" s="626"/>
      <c r="E118" s="626"/>
      <c r="F118" s="626"/>
      <c r="G118" s="626"/>
      <c r="H118" s="554"/>
      <c r="I118" s="554"/>
      <c r="J118" s="554"/>
      <c r="K118" s="554"/>
      <c r="L118" s="555"/>
      <c r="M118" s="556"/>
      <c r="N118" s="1150"/>
      <c r="O118" s="1150"/>
      <c r="P118" s="2628"/>
      <c r="Q118" s="503"/>
    </row>
    <row r="119" spans="1:17" ht="15.75"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9"/>
      <c r="Q121" s="558"/>
    </row>
    <row r="122" spans="1:17" ht="15" thickTop="1">
      <c r="A122" s="598"/>
      <c r="B122" s="537" t="s">
        <v>2621</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8"/>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35"/>
      <c r="E129" s="535"/>
      <c r="F129" s="535"/>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2529</v>
      </c>
      <c r="B1" s="2667" t="s">
        <v>2703</v>
      </c>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IF(C2="——",ROUND(C43*D3/10000,0),ROUND(C43*D3/10000,0)-D2)</f>
        <v>#DIV/0!</v>
      </c>
      <c r="C2" s="2584"/>
      <c r="D2" s="1122" t="e">
        <f ca="1">SUMIF(INDIRECT("'"&amp;F2&amp;"'"&amp;"!A:A"),"承租人权益价值",INDIRECT("'"&amp;F2&amp;"'"&amp;"!c:c"))</f>
        <v>#REF!</v>
      </c>
      <c r="E2" s="2585" t="s">
        <v>2329</v>
      </c>
      <c r="F2" s="2586"/>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34007.5</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43236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2560</v>
      </c>
      <c r="B15" s="68" t="s">
        <v>2704</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2" t="s">
        <v>2561</v>
      </c>
      <c r="Q15" s="1808" t="str">
        <f t="shared" si="6"/>
        <v>产业集聚程度</v>
      </c>
      <c r="R15" s="773" t="s">
        <v>17</v>
      </c>
      <c r="S15" s="774">
        <f t="shared" si="0"/>
        <v>100</v>
      </c>
      <c r="T15" s="773" t="s">
        <v>17</v>
      </c>
      <c r="U15" s="774">
        <f t="shared" si="1"/>
        <v>100</v>
      </c>
      <c r="V15" s="773" t="s">
        <v>17</v>
      </c>
      <c r="W15" s="774">
        <f t="shared" si="2"/>
        <v>100</v>
      </c>
      <c r="X15" s="1811"/>
      <c r="Y15" s="3212" t="s">
        <v>2561</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13"/>
      <c r="Q16" s="1808"/>
      <c r="R16" s="773"/>
      <c r="S16" s="774"/>
      <c r="T16" s="773"/>
      <c r="U16" s="774"/>
      <c r="V16" s="773"/>
      <c r="W16" s="774"/>
      <c r="X16" s="1811"/>
      <c r="Y16" s="3213"/>
      <c r="Z16" s="1812"/>
      <c r="AA16" s="1809">
        <v>1</v>
      </c>
      <c r="AB16" s="1809">
        <v>1</v>
      </c>
      <c r="AC16" s="1809">
        <v>1</v>
      </c>
    </row>
    <row r="17" spans="1:29" ht="85.5">
      <c r="A17" s="427"/>
      <c r="B17" s="450" t="s">
        <v>2098</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3"/>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13"/>
      <c r="Q18" s="1808"/>
      <c r="R18" s="773"/>
      <c r="S18" s="774"/>
      <c r="T18" s="773"/>
      <c r="U18" s="774"/>
      <c r="V18" s="773"/>
      <c r="W18" s="774"/>
      <c r="X18" s="1811"/>
      <c r="Y18" s="3213"/>
      <c r="Z18" s="1812"/>
      <c r="AA18" s="1809">
        <v>1</v>
      </c>
      <c r="AB18" s="1809">
        <v>1</v>
      </c>
      <c r="AC18" s="1809">
        <v>1</v>
      </c>
    </row>
    <row r="19" spans="1:29" ht="42.75">
      <c r="A19" s="427"/>
      <c r="B19" s="450" t="s">
        <v>2689</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3"/>
      <c r="Q19" s="1808" t="str">
        <f>B19</f>
        <v>公共配套设施</v>
      </c>
      <c r="R19" s="773" t="s">
        <v>17</v>
      </c>
      <c r="S19" s="774">
        <f>F19</f>
        <v>100</v>
      </c>
      <c r="T19" s="773" t="s">
        <v>17</v>
      </c>
      <c r="U19" s="774">
        <f>H19</f>
        <v>100</v>
      </c>
      <c r="V19" s="773" t="s">
        <v>17</v>
      </c>
      <c r="W19" s="774">
        <f>J19</f>
        <v>100</v>
      </c>
      <c r="X19" s="1811"/>
      <c r="Y19" s="3213"/>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13"/>
      <c r="Q20" s="1808"/>
      <c r="R20" s="773"/>
      <c r="S20" s="774"/>
      <c r="T20" s="773"/>
      <c r="U20" s="774"/>
      <c r="V20" s="773"/>
      <c r="W20" s="774"/>
      <c r="X20" s="1811"/>
      <c r="Y20" s="3213"/>
      <c r="Z20" s="1812"/>
      <c r="AA20" s="1809">
        <v>1</v>
      </c>
      <c r="AB20" s="1809">
        <v>1</v>
      </c>
      <c r="AC20" s="1809">
        <v>1</v>
      </c>
    </row>
    <row r="21" spans="1:29" ht="28.5">
      <c r="A21" s="427"/>
      <c r="B21" s="1382" t="s">
        <v>2690</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3"/>
      <c r="Q21" s="1808" t="str">
        <f>B21</f>
        <v>基础设施水平</v>
      </c>
      <c r="R21" s="773" t="s">
        <v>17</v>
      </c>
      <c r="S21" s="774">
        <f>F21</f>
        <v>100</v>
      </c>
      <c r="T21" s="773" t="s">
        <v>17</v>
      </c>
      <c r="U21" s="774">
        <f>H21</f>
        <v>100</v>
      </c>
      <c r="V21" s="773" t="s">
        <v>17</v>
      </c>
      <c r="W21" s="774">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13"/>
      <c r="Q22" s="1808"/>
      <c r="R22" s="773"/>
      <c r="S22" s="774"/>
      <c r="T22" s="773"/>
      <c r="U22" s="774"/>
      <c r="V22" s="773"/>
      <c r="W22" s="774"/>
      <c r="X22" s="1811"/>
      <c r="Y22" s="3213"/>
      <c r="Z22" s="1812"/>
      <c r="AA22" s="1809">
        <v>1</v>
      </c>
      <c r="AB22" s="1809">
        <v>1</v>
      </c>
      <c r="AC22" s="1809">
        <v>1</v>
      </c>
    </row>
    <row r="23" spans="1:29" ht="71.25">
      <c r="A23" s="427"/>
      <c r="B23" s="450" t="s">
        <v>2691</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3"/>
      <c r="Q23" s="1808" t="str">
        <f>B23</f>
        <v>环境质量</v>
      </c>
      <c r="R23" s="773" t="s">
        <v>17</v>
      </c>
      <c r="S23" s="774">
        <f>F23</f>
        <v>100</v>
      </c>
      <c r="T23" s="773" t="s">
        <v>17</v>
      </c>
      <c r="U23" s="774">
        <f>H23</f>
        <v>100</v>
      </c>
      <c r="V23" s="773" t="s">
        <v>17</v>
      </c>
      <c r="W23" s="774">
        <f>J23</f>
        <v>100</v>
      </c>
      <c r="X23" s="1811"/>
      <c r="Y23" s="3213"/>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13"/>
      <c r="Q24" s="1808"/>
      <c r="R24" s="773"/>
      <c r="S24" s="774"/>
      <c r="T24" s="773"/>
      <c r="U24" s="774"/>
      <c r="V24" s="773"/>
      <c r="W24" s="774"/>
      <c r="X24" s="1811"/>
      <c r="Y24" s="321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3"/>
      <c r="Q25" s="1808">
        <f>B25</f>
        <v>111</v>
      </c>
      <c r="R25" s="773" t="s">
        <v>17</v>
      </c>
      <c r="S25" s="774">
        <f>F25</f>
        <v>100</v>
      </c>
      <c r="T25" s="773" t="s">
        <v>17</v>
      </c>
      <c r="U25" s="774">
        <f>H25</f>
        <v>100</v>
      </c>
      <c r="V25" s="773" t="s">
        <v>17</v>
      </c>
      <c r="W25" s="774">
        <f>J25</f>
        <v>100</v>
      </c>
      <c r="X25" s="1811"/>
      <c r="Y25" s="321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3"/>
      <c r="Q26" s="1808">
        <f t="shared" ref="Q26:Q40" si="11">B26</f>
        <v>111</v>
      </c>
      <c r="R26" s="773" t="s">
        <v>17</v>
      </c>
      <c r="S26" s="774">
        <f>F26</f>
        <v>100</v>
      </c>
      <c r="T26" s="773" t="s">
        <v>17</v>
      </c>
      <c r="U26" s="774">
        <f>H26</f>
        <v>100</v>
      </c>
      <c r="V26" s="773" t="s">
        <v>17</v>
      </c>
      <c r="W26" s="774">
        <f>J26</f>
        <v>100</v>
      </c>
      <c r="X26" s="1811"/>
      <c r="Y26" s="3213"/>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3"/>
      <c r="Q27" s="1793">
        <f t="shared" si="11"/>
        <v>111</v>
      </c>
      <c r="R27" s="769" t="s">
        <v>17</v>
      </c>
      <c r="S27" s="770">
        <f>F27</f>
        <v>100</v>
      </c>
      <c r="T27" s="769" t="s">
        <v>17</v>
      </c>
      <c r="U27" s="770">
        <f>H27</f>
        <v>100</v>
      </c>
      <c r="V27" s="769" t="s">
        <v>17</v>
      </c>
      <c r="W27" s="770">
        <f>J27</f>
        <v>100</v>
      </c>
      <c r="X27" s="771"/>
      <c r="Y27" s="3213"/>
      <c r="Z27" s="54">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3"/>
      <c r="Q28" s="1808">
        <f t="shared" si="11"/>
        <v>111</v>
      </c>
      <c r="R28" s="773" t="s">
        <v>17</v>
      </c>
      <c r="S28" s="774">
        <f t="shared" ref="S28:S40" si="12">F28</f>
        <v>100</v>
      </c>
      <c r="T28" s="773" t="s">
        <v>17</v>
      </c>
      <c r="U28" s="774">
        <f t="shared" ref="U28:U40" si="13">H28</f>
        <v>100</v>
      </c>
      <c r="V28" s="773" t="s">
        <v>17</v>
      </c>
      <c r="W28" s="774">
        <f t="shared" ref="W28:W40" si="14">J28</f>
        <v>100</v>
      </c>
      <c r="X28" s="1811"/>
      <c r="Y28" s="3213"/>
      <c r="Z28" s="1812">
        <f t="shared" ref="Z28:Z40" si="15">Q28</f>
        <v>111</v>
      </c>
      <c r="AA28" s="1809">
        <f t="shared" si="3"/>
        <v>1</v>
      </c>
      <c r="AB28" s="1809">
        <f t="shared" si="4"/>
        <v>1</v>
      </c>
      <c r="AC28" s="1809">
        <f t="shared" si="5"/>
        <v>1</v>
      </c>
    </row>
    <row r="29" spans="1:29" ht="15">
      <c r="A29" s="465" t="s">
        <v>2564</v>
      </c>
      <c r="B29" s="70" t="s">
        <v>2694</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320" t="s">
        <v>2566</v>
      </c>
      <c r="Q29" s="1808" t="str">
        <f t="shared" si="11"/>
        <v>建筑类型</v>
      </c>
      <c r="R29" s="773" t="s">
        <v>17</v>
      </c>
      <c r="S29" s="774">
        <f t="shared" si="12"/>
        <v>100</v>
      </c>
      <c r="T29" s="773" t="s">
        <v>17</v>
      </c>
      <c r="U29" s="774">
        <f t="shared" si="13"/>
        <v>100</v>
      </c>
      <c r="V29" s="773" t="s">
        <v>17</v>
      </c>
      <c r="W29" s="774">
        <f t="shared" si="14"/>
        <v>100</v>
      </c>
      <c r="X29" s="1811"/>
      <c r="Y29" s="3217" t="s">
        <v>2566</v>
      </c>
      <c r="Z29" s="1812" t="str">
        <f t="shared" si="15"/>
        <v>建筑类型</v>
      </c>
      <c r="AA29" s="1809">
        <f t="shared" si="3"/>
        <v>1</v>
      </c>
      <c r="AB29" s="1809">
        <f t="shared" si="4"/>
        <v>1</v>
      </c>
      <c r="AC29" s="1809">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09" t="e">
        <f t="shared" si="3"/>
        <v>#N/A</v>
      </c>
      <c r="AB30" s="1809" t="e">
        <f t="shared" si="4"/>
        <v>#N/A</v>
      </c>
      <c r="AC30" s="1809"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7"/>
      <c r="Q31" s="1808" t="str">
        <f t="shared" si="11"/>
        <v>建筑结构</v>
      </c>
      <c r="R31" s="773" t="s">
        <v>17</v>
      </c>
      <c r="S31" s="774">
        <f t="shared" si="12"/>
        <v>100</v>
      </c>
      <c r="T31" s="773" t="s">
        <v>17</v>
      </c>
      <c r="U31" s="774">
        <f t="shared" si="13"/>
        <v>100</v>
      </c>
      <c r="V31" s="773" t="s">
        <v>17</v>
      </c>
      <c r="W31" s="774">
        <f t="shared" si="14"/>
        <v>100</v>
      </c>
      <c r="X31" s="1811"/>
      <c r="Y31" s="3217"/>
      <c r="Z31" s="1812" t="str">
        <f t="shared" si="15"/>
        <v>建筑结构</v>
      </c>
      <c r="AA31" s="1809">
        <f t="shared" si="3"/>
        <v>1</v>
      </c>
      <c r="AB31" s="1809">
        <f t="shared" si="4"/>
        <v>1</v>
      </c>
      <c r="AC31" s="1809">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7"/>
      <c r="Q32" s="1808" t="str">
        <f t="shared" si="11"/>
        <v>公共部分装修</v>
      </c>
      <c r="R32" s="773" t="s">
        <v>17</v>
      </c>
      <c r="S32" s="774">
        <f t="shared" si="12"/>
        <v>100</v>
      </c>
      <c r="T32" s="773" t="s">
        <v>17</v>
      </c>
      <c r="U32" s="774">
        <f t="shared" si="13"/>
        <v>100</v>
      </c>
      <c r="V32" s="773" t="s">
        <v>17</v>
      </c>
      <c r="W32" s="774">
        <f t="shared" si="14"/>
        <v>100</v>
      </c>
      <c r="X32" s="1811"/>
      <c r="Y32" s="3217"/>
      <c r="Z32" s="1812" t="str">
        <f t="shared" si="15"/>
        <v>公共部分装修</v>
      </c>
      <c r="AA32" s="1809">
        <f t="shared" si="3"/>
        <v>1</v>
      </c>
      <c r="AB32" s="1809">
        <f t="shared" si="4"/>
        <v>1</v>
      </c>
      <c r="AC32" s="1809">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7"/>
      <c r="Q33" s="1808" t="str">
        <f t="shared" si="11"/>
        <v>成新度</v>
      </c>
      <c r="R33" s="773" t="s">
        <v>17</v>
      </c>
      <c r="S33" s="774" t="e">
        <f t="shared" si="12"/>
        <v>#N/A</v>
      </c>
      <c r="T33" s="773" t="s">
        <v>17</v>
      </c>
      <c r="U33" s="774" t="e">
        <f t="shared" si="13"/>
        <v>#N/A</v>
      </c>
      <c r="V33" s="773" t="s">
        <v>17</v>
      </c>
      <c r="W33" s="774" t="e">
        <f t="shared" si="14"/>
        <v>#N/A</v>
      </c>
      <c r="X33" s="1811"/>
      <c r="Y33" s="3217"/>
      <c r="Z33" s="1812" t="str">
        <f t="shared" si="15"/>
        <v>成新度</v>
      </c>
      <c r="AA33" s="1809" t="e">
        <f t="shared" si="3"/>
        <v>#N/A</v>
      </c>
      <c r="AB33" s="1809" t="e">
        <f t="shared" si="4"/>
        <v>#N/A</v>
      </c>
      <c r="AC33" s="1809"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7"/>
      <c r="Q34" s="1793" t="str">
        <f t="shared" si="11"/>
        <v>物业管理</v>
      </c>
      <c r="R34" s="769" t="s">
        <v>17</v>
      </c>
      <c r="S34" s="770">
        <f t="shared" si="12"/>
        <v>100</v>
      </c>
      <c r="T34" s="769" t="s">
        <v>17</v>
      </c>
      <c r="U34" s="770">
        <f t="shared" si="13"/>
        <v>100</v>
      </c>
      <c r="V34" s="769" t="s">
        <v>17</v>
      </c>
      <c r="W34" s="770">
        <f t="shared" si="14"/>
        <v>100</v>
      </c>
      <c r="X34" s="771"/>
      <c r="Y34" s="3217"/>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7" t="s">
        <v>2566</v>
      </c>
      <c r="Q35" s="1808" t="str">
        <f t="shared" si="11"/>
        <v>市政基础设施</v>
      </c>
      <c r="R35" s="773" t="s">
        <v>17</v>
      </c>
      <c r="S35" s="774">
        <f t="shared" si="12"/>
        <v>100</v>
      </c>
      <c r="T35" s="773" t="s">
        <v>17</v>
      </c>
      <c r="U35" s="774">
        <f t="shared" si="13"/>
        <v>100</v>
      </c>
      <c r="V35" s="773" t="s">
        <v>17</v>
      </c>
      <c r="W35" s="774">
        <f t="shared" si="14"/>
        <v>100</v>
      </c>
      <c r="X35" s="1811"/>
      <c r="Y35" s="3217" t="s">
        <v>2566</v>
      </c>
      <c r="Z35" s="1812" t="str">
        <f t="shared" si="15"/>
        <v>市政基础设施</v>
      </c>
      <c r="AA35" s="1809">
        <f t="shared" si="3"/>
        <v>1</v>
      </c>
      <c r="AB35" s="1809">
        <f t="shared" si="4"/>
        <v>1</v>
      </c>
      <c r="AC35" s="1809">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7"/>
      <c r="Q36" s="1808" t="str">
        <f t="shared" si="11"/>
        <v>内部装修</v>
      </c>
      <c r="R36" s="773" t="s">
        <v>17</v>
      </c>
      <c r="S36" s="774">
        <f t="shared" si="12"/>
        <v>100</v>
      </c>
      <c r="T36" s="773" t="s">
        <v>17</v>
      </c>
      <c r="U36" s="774">
        <f t="shared" si="13"/>
        <v>100</v>
      </c>
      <c r="V36" s="773" t="s">
        <v>17</v>
      </c>
      <c r="W36" s="774">
        <f t="shared" si="14"/>
        <v>100</v>
      </c>
      <c r="X36" s="1811"/>
      <c r="Y36" s="3217"/>
      <c r="Z36" s="1812" t="str">
        <f t="shared" si="15"/>
        <v>内部装修</v>
      </c>
      <c r="AA36" s="1809">
        <f t="shared" si="3"/>
        <v>1</v>
      </c>
      <c r="AB36" s="1809">
        <f t="shared" si="4"/>
        <v>1</v>
      </c>
      <c r="AC36" s="1809">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7"/>
      <c r="Q37" s="1808" t="str">
        <f t="shared" si="11"/>
        <v>内部装修状况</v>
      </c>
      <c r="R37" s="773" t="s">
        <v>17</v>
      </c>
      <c r="S37" s="774">
        <f t="shared" si="12"/>
        <v>100</v>
      </c>
      <c r="T37" s="773" t="s">
        <v>17</v>
      </c>
      <c r="U37" s="774">
        <f t="shared" si="13"/>
        <v>100</v>
      </c>
      <c r="V37" s="773" t="s">
        <v>17</v>
      </c>
      <c r="W37" s="774">
        <f t="shared" si="14"/>
        <v>100</v>
      </c>
      <c r="X37" s="1811"/>
      <c r="Y37" s="321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7"/>
      <c r="Q39" s="1808">
        <f t="shared" si="11"/>
        <v>111</v>
      </c>
      <c r="R39" s="773" t="s">
        <v>17</v>
      </c>
      <c r="S39" s="774">
        <f t="shared" si="12"/>
        <v>100</v>
      </c>
      <c r="T39" s="773" t="s">
        <v>17</v>
      </c>
      <c r="U39" s="774">
        <f t="shared" si="13"/>
        <v>100</v>
      </c>
      <c r="V39" s="773" t="s">
        <v>17</v>
      </c>
      <c r="W39" s="774">
        <f t="shared" si="14"/>
        <v>100</v>
      </c>
      <c r="X39" s="1811"/>
      <c r="Y39" s="3217"/>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18"/>
      <c r="Q40" s="1808">
        <f t="shared" si="11"/>
        <v>111</v>
      </c>
      <c r="R40" s="773" t="s">
        <v>17</v>
      </c>
      <c r="S40" s="774">
        <f t="shared" si="12"/>
        <v>100</v>
      </c>
      <c r="T40" s="773" t="s">
        <v>17</v>
      </c>
      <c r="U40" s="774">
        <f t="shared" si="13"/>
        <v>100</v>
      </c>
      <c r="V40" s="773" t="s">
        <v>17</v>
      </c>
      <c r="W40" s="774">
        <f t="shared" si="14"/>
        <v>100</v>
      </c>
      <c r="X40" s="1811"/>
      <c r="Y40" s="3218"/>
      <c r="Z40" s="1812">
        <f t="shared" si="15"/>
        <v>111</v>
      </c>
      <c r="AA40" s="1809">
        <f t="shared" si="3"/>
        <v>1</v>
      </c>
      <c r="AB40" s="1809">
        <f t="shared" si="4"/>
        <v>1</v>
      </c>
      <c r="AC40" s="1809">
        <f t="shared" si="5"/>
        <v>1</v>
      </c>
    </row>
    <row r="41" spans="1:29" ht="15">
      <c r="A41" s="478" t="s">
        <v>2578</v>
      </c>
      <c r="B41" s="479"/>
      <c r="C41" s="1405" t="s">
        <v>1</v>
      </c>
      <c r="D41" s="1406"/>
      <c r="E41" s="1407"/>
      <c r="F41" s="1408"/>
      <c r="G41" s="1409"/>
      <c r="H41" s="1410"/>
      <c r="I41" s="1407"/>
      <c r="J41" s="1410"/>
      <c r="K41" s="782"/>
      <c r="L41" s="1141"/>
      <c r="M41" s="1142"/>
      <c r="N41" s="1129"/>
      <c r="O41" s="1142"/>
      <c r="P41" s="3205" t="str">
        <f>A41</f>
        <v>成交单价（元/平方米）</v>
      </c>
      <c r="Q41" s="3205"/>
      <c r="R41" s="3206">
        <f>E41</f>
        <v>0</v>
      </c>
      <c r="S41" s="3206"/>
      <c r="T41" s="3206">
        <f>G41</f>
        <v>0</v>
      </c>
      <c r="U41" s="3206"/>
      <c r="V41" s="3206">
        <f>I41</f>
        <v>0</v>
      </c>
      <c r="W41" s="3206"/>
      <c r="X41" s="758"/>
      <c r="Y41" s="780"/>
      <c r="Z41" s="758"/>
      <c r="AA41" s="758"/>
      <c r="AB41" s="758"/>
      <c r="AC41" s="758"/>
    </row>
    <row r="42" spans="1:29" ht="15.75" thickBot="1">
      <c r="A42" s="485" t="s">
        <v>2670</v>
      </c>
      <c r="B42" s="486"/>
      <c r="C42" s="1411" t="e">
        <f>R43</f>
        <v>#DIV/0!</v>
      </c>
      <c r="D42" s="1412"/>
      <c r="E42" s="1413" t="e">
        <f>R42</f>
        <v>#DIV/0!</v>
      </c>
      <c r="F42" s="1413"/>
      <c r="G42" s="1411" t="e">
        <f>T42</f>
        <v>#DIV/0!</v>
      </c>
      <c r="H42" s="1412"/>
      <c r="I42" s="1413" t="e">
        <f>V42</f>
        <v>#DIV/0!</v>
      </c>
      <c r="J42" s="1412"/>
      <c r="K42" s="783"/>
      <c r="L42" s="1141"/>
      <c r="M42" s="1142"/>
      <c r="N42" s="1129"/>
      <c r="O42" s="1142"/>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8"/>
      <c r="Y42" s="758"/>
      <c r="Z42" s="758"/>
      <c r="AA42" s="758"/>
      <c r="AB42" s="758"/>
      <c r="AC42" s="758"/>
    </row>
    <row r="43" spans="1:29" ht="15.75" thickBot="1">
      <c r="A43" s="491" t="s">
        <v>2671</v>
      </c>
      <c r="B43" s="492"/>
      <c r="C43" s="1415" t="e">
        <f>R43</f>
        <v>#DIV/0!</v>
      </c>
      <c r="D43" s="1415"/>
      <c r="E43" s="1415"/>
      <c r="F43" s="1415"/>
      <c r="G43" s="1415"/>
      <c r="H43" s="1415"/>
      <c r="I43" s="1415"/>
      <c r="J43" s="1415"/>
      <c r="K43" s="784"/>
      <c r="L43" s="1141"/>
      <c r="M43" s="1142"/>
      <c r="N43" s="1142"/>
      <c r="O43" s="1142"/>
      <c r="P43" s="3307" t="str">
        <f>A43</f>
        <v>估价对象XX用房的比较价值（楼面单价，元/平方米）</v>
      </c>
      <c r="Q43" s="3308"/>
      <c r="R43" s="3309" t="e">
        <f>IF(F1="售价",ROUND(AVERAGE(R42:V42),0),ROUND(AVERAGE(R42:V42),1))</f>
        <v>#DIV/0!</v>
      </c>
      <c r="S43" s="3309"/>
      <c r="T43" s="3309"/>
      <c r="U43" s="3309"/>
      <c r="V43" s="3309"/>
      <c r="W43" s="3309"/>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2675</v>
      </c>
      <c r="B51" s="758"/>
      <c r="C51" s="763"/>
      <c r="D51" s="763"/>
      <c r="E51" s="763"/>
      <c r="F51" s="764"/>
      <c r="G51" s="764"/>
      <c r="H51" s="763"/>
      <c r="I51" s="763"/>
      <c r="J51" s="763"/>
      <c r="K51" s="1158"/>
      <c r="L51" s="1159"/>
      <c r="M51" s="1157"/>
      <c r="N51" s="1157"/>
      <c r="O51" s="1157"/>
      <c r="P51" s="502"/>
      <c r="Q51" s="503"/>
    </row>
    <row r="52" spans="1:17" s="507" customFormat="1" ht="15">
      <c r="A52" s="504" t="s">
        <v>2549</v>
      </c>
      <c r="B52" s="505"/>
      <c r="C52" s="1572" t="str">
        <f>YEAR(C7)&amp;"-"&amp;MONTH(C7)</f>
        <v>2018-5</v>
      </c>
      <c r="D52" s="1573">
        <f>EDATE(C52,-1)</f>
        <v>43191</v>
      </c>
      <c r="E52" s="1573">
        <f t="shared" ref="E52:O52" si="16">EDATE(D52,-1)</f>
        <v>43160</v>
      </c>
      <c r="F52" s="1573">
        <f t="shared" si="16"/>
        <v>43132</v>
      </c>
      <c r="G52" s="1573">
        <f t="shared" si="16"/>
        <v>43101</v>
      </c>
      <c r="H52" s="1573">
        <f t="shared" si="16"/>
        <v>43070</v>
      </c>
      <c r="I52" s="1573">
        <f t="shared" si="16"/>
        <v>43040</v>
      </c>
      <c r="J52" s="1573">
        <f t="shared" si="16"/>
        <v>43009</v>
      </c>
      <c r="K52" s="1573">
        <f t="shared" si="16"/>
        <v>42979</v>
      </c>
      <c r="L52" s="1573">
        <f t="shared" si="16"/>
        <v>42948</v>
      </c>
      <c r="M52" s="1573">
        <f t="shared" si="16"/>
        <v>42917</v>
      </c>
      <c r="N52" s="1573">
        <f t="shared" si="16"/>
        <v>42887</v>
      </c>
      <c r="O52" s="1573">
        <f t="shared" si="16"/>
        <v>42856</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34"/>
      <c r="B87" s="568"/>
      <c r="C87" s="569"/>
      <c r="D87" s="569"/>
      <c r="E87" s="569"/>
      <c r="F87" s="569"/>
      <c r="G87" s="590"/>
      <c r="H87" s="590"/>
      <c r="I87" s="590"/>
      <c r="J87" s="590"/>
      <c r="K87" s="590"/>
      <c r="L87" s="590"/>
      <c r="M87" s="591"/>
      <c r="N87" s="1151"/>
      <c r="O87" s="1151"/>
      <c r="P87" s="44"/>
      <c r="Q87" s="503"/>
    </row>
    <row r="88" spans="1:17">
      <c r="A88" s="526" t="s">
        <v>2564</v>
      </c>
      <c r="B88" s="527" t="s">
        <v>2613</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2617</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2621</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34"/>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0"/>
      <c r="F1" s="2582"/>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2328</v>
      </c>
      <c r="B2" s="1416" t="e">
        <f ca="1">IF(C2="——",IF(B37="元/平方米",ROUND(C39*D3/10000,0),ROUND(F3*C39/10000,0)),IF(B37="元/平方米",ROUND(C39*D3/10000,0),ROUND(F3*C39/10000,0))-D2)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43236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46" t="s">
        <v>2550</v>
      </c>
      <c r="Q7" s="3247"/>
      <c r="R7" s="769" t="s">
        <v>17</v>
      </c>
      <c r="S7" s="770">
        <f t="shared" ref="S7:S14" si="0">F7</f>
        <v>0</v>
      </c>
      <c r="T7" s="769" t="s">
        <v>17</v>
      </c>
      <c r="U7" s="770">
        <f t="shared" ref="U7:U14" si="1">H7</f>
        <v>0</v>
      </c>
      <c r="V7" s="769" t="s">
        <v>17</v>
      </c>
      <c r="W7" s="770">
        <f t="shared" ref="W7:W14"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5" t="s">
        <v>2556</v>
      </c>
      <c r="Q9" s="1793" t="str">
        <f t="shared" ref="Q9:Q14" si="6">B9</f>
        <v>用途</v>
      </c>
      <c r="R9" s="769" t="s">
        <v>17</v>
      </c>
      <c r="S9" s="770">
        <f t="shared" si="0"/>
        <v>100</v>
      </c>
      <c r="T9" s="769" t="s">
        <v>17</v>
      </c>
      <c r="U9" s="770">
        <f t="shared" si="1"/>
        <v>100</v>
      </c>
      <c r="V9" s="769" t="s">
        <v>17</v>
      </c>
      <c r="W9" s="770">
        <f t="shared" si="2"/>
        <v>100</v>
      </c>
      <c r="X9" s="771"/>
      <c r="Y9" s="3062"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5"/>
      <c r="Q11" s="1793">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71.25">
      <c r="A14" s="400" t="s">
        <v>2560</v>
      </c>
      <c r="B14" s="628" t="s">
        <v>2710</v>
      </c>
      <c r="C14" s="2690" t="str">
        <f>IF(B1="工业",估价对象房地状况!G4,估价对象房地状况!C6)</f>
        <v>估价对象周边道路通达、公共交通便捷、停车便捷，综合评价交通便捷度较好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2" t="s">
        <v>2561</v>
      </c>
      <c r="Q14" s="1808" t="str">
        <f t="shared" si="6"/>
        <v>交通便捷度</v>
      </c>
      <c r="R14" s="773" t="s">
        <v>17</v>
      </c>
      <c r="S14" s="774">
        <f t="shared" si="0"/>
        <v>100</v>
      </c>
      <c r="T14" s="773" t="s">
        <v>17</v>
      </c>
      <c r="U14" s="774">
        <f t="shared" si="1"/>
        <v>100</v>
      </c>
      <c r="V14" s="773" t="s">
        <v>17</v>
      </c>
      <c r="W14" s="774">
        <f t="shared" si="2"/>
        <v>100</v>
      </c>
      <c r="X14" s="1811"/>
      <c r="Y14" s="3212" t="s">
        <v>2561</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13"/>
      <c r="Q15" s="1808"/>
      <c r="R15" s="773"/>
      <c r="S15" s="774"/>
      <c r="T15" s="773"/>
      <c r="U15" s="774"/>
      <c r="V15" s="773"/>
      <c r="W15" s="774"/>
      <c r="X15" s="1811"/>
      <c r="Y15" s="3213"/>
      <c r="Z15" s="1812"/>
      <c r="AA15" s="1809">
        <v>1</v>
      </c>
      <c r="AB15" s="1809">
        <v>1</v>
      </c>
      <c r="AC15" s="1809">
        <v>1</v>
      </c>
    </row>
    <row r="16" spans="1:29" ht="42.75">
      <c r="A16" s="403"/>
      <c r="B16" s="630" t="s">
        <v>2689</v>
      </c>
      <c r="C16" s="2605" t="str">
        <f>IF(B1="工业",估价对象房地状况!G5,估价对象房地状况!C7)</f>
        <v>估价对象所在区域公共配套设施较齐备</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3"/>
      <c r="Q16" s="1808" t="str">
        <f>B16</f>
        <v>公共配套设施</v>
      </c>
      <c r="R16" s="773" t="s">
        <v>17</v>
      </c>
      <c r="S16" s="774">
        <f>F16</f>
        <v>100</v>
      </c>
      <c r="T16" s="773" t="s">
        <v>17</v>
      </c>
      <c r="U16" s="774">
        <f>H16</f>
        <v>100</v>
      </c>
      <c r="V16" s="773" t="s">
        <v>17</v>
      </c>
      <c r="W16" s="774">
        <f>J16</f>
        <v>100</v>
      </c>
      <c r="X16" s="1811"/>
      <c r="Y16" s="3213"/>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8"/>
      <c r="M17" s="1129"/>
      <c r="N17" s="1129"/>
      <c r="O17" s="1129"/>
      <c r="P17" s="3213"/>
      <c r="Q17" s="1808"/>
      <c r="R17" s="773"/>
      <c r="S17" s="774"/>
      <c r="T17" s="773"/>
      <c r="U17" s="774"/>
      <c r="V17" s="773"/>
      <c r="W17" s="774"/>
      <c r="X17" s="1811"/>
      <c r="Y17" s="3213"/>
      <c r="Z17" s="1812"/>
      <c r="AA17" s="1809">
        <v>1</v>
      </c>
      <c r="AB17" s="1809">
        <v>1</v>
      </c>
      <c r="AC17" s="1809">
        <v>1</v>
      </c>
    </row>
    <row r="18" spans="1:29" ht="42.75">
      <c r="A18" s="403"/>
      <c r="B18" s="632" t="s">
        <v>2690</v>
      </c>
      <c r="C18" s="2605"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3"/>
      <c r="Q18" s="1808" t="str">
        <f>B18</f>
        <v>基础设施水平</v>
      </c>
      <c r="R18" s="773" t="s">
        <v>17</v>
      </c>
      <c r="S18" s="774">
        <f>F18</f>
        <v>100</v>
      </c>
      <c r="T18" s="773" t="s">
        <v>17</v>
      </c>
      <c r="U18" s="774">
        <f>H18</f>
        <v>100</v>
      </c>
      <c r="V18" s="773" t="s">
        <v>17</v>
      </c>
      <c r="W18" s="774">
        <f>J18</f>
        <v>100</v>
      </c>
      <c r="X18" s="1811"/>
      <c r="Y18" s="3213"/>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1"/>
      <c r="L19" s="1138"/>
      <c r="M19" s="1129"/>
      <c r="N19" s="1129"/>
      <c r="O19" s="1129"/>
      <c r="P19" s="3213"/>
      <c r="Q19" s="1808"/>
      <c r="R19" s="773"/>
      <c r="S19" s="774"/>
      <c r="T19" s="773"/>
      <c r="U19" s="774"/>
      <c r="V19" s="773"/>
      <c r="W19" s="774"/>
      <c r="X19" s="1811"/>
      <c r="Y19" s="3213"/>
      <c r="Z19" s="1812"/>
      <c r="AA19" s="1809">
        <v>1</v>
      </c>
      <c r="AB19" s="1809">
        <v>1</v>
      </c>
      <c r="AC19" s="1809">
        <v>1</v>
      </c>
    </row>
    <row r="20" spans="1:29" ht="57">
      <c r="A20" s="403"/>
      <c r="B20" s="630" t="s">
        <v>2711</v>
      </c>
      <c r="C20" s="2605" t="str">
        <f>IF(B1="工业",估价对象房地状况!G7,估价对象房地状况!C9)</f>
        <v>区域自然环境较好；人文环境一般；综合评价环境状况较好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3"/>
      <c r="Q20" s="1808" t="str">
        <f>B20</f>
        <v>自然及人文环境</v>
      </c>
      <c r="R20" s="773" t="s">
        <v>17</v>
      </c>
      <c r="S20" s="774">
        <f>F20</f>
        <v>100</v>
      </c>
      <c r="T20" s="773" t="s">
        <v>17</v>
      </c>
      <c r="U20" s="774">
        <f>H20</f>
        <v>100</v>
      </c>
      <c r="V20" s="773" t="s">
        <v>17</v>
      </c>
      <c r="W20" s="774">
        <f>J20</f>
        <v>100</v>
      </c>
      <c r="X20" s="1811"/>
      <c r="Y20" s="321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13"/>
      <c r="Q21" s="1808"/>
      <c r="R21" s="773"/>
      <c r="S21" s="774"/>
      <c r="T21" s="773"/>
      <c r="U21" s="774"/>
      <c r="V21" s="773"/>
      <c r="W21" s="774"/>
      <c r="X21" s="1811"/>
      <c r="Y21" s="3213"/>
      <c r="Z21" s="1812"/>
      <c r="AA21" s="1809">
        <v>1</v>
      </c>
      <c r="AB21" s="1809">
        <v>1</v>
      </c>
      <c r="AC21" s="1809">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3"/>
      <c r="Q22" s="1808" t="str">
        <f>B22</f>
        <v>楼层</v>
      </c>
      <c r="R22" s="773" t="s">
        <v>17</v>
      </c>
      <c r="S22" s="774">
        <f>F22</f>
        <v>100</v>
      </c>
      <c r="T22" s="773" t="s">
        <v>17</v>
      </c>
      <c r="U22" s="774">
        <f>H22</f>
        <v>100</v>
      </c>
      <c r="V22" s="773" t="s">
        <v>17</v>
      </c>
      <c r="W22" s="774">
        <f>J22</f>
        <v>100</v>
      </c>
      <c r="X22" s="1811"/>
      <c r="Y22" s="321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3"/>
      <c r="Q23" s="1808">
        <f>B23</f>
        <v>111</v>
      </c>
      <c r="R23" s="773" t="s">
        <v>17</v>
      </c>
      <c r="S23" s="774">
        <f>F23</f>
        <v>100</v>
      </c>
      <c r="T23" s="773" t="s">
        <v>17</v>
      </c>
      <c r="U23" s="774">
        <f>H23</f>
        <v>100</v>
      </c>
      <c r="V23" s="773" t="s">
        <v>17</v>
      </c>
      <c r="W23" s="774">
        <f>J23</f>
        <v>100</v>
      </c>
      <c r="X23" s="1811"/>
      <c r="Y23" s="321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3"/>
      <c r="Q24" s="1808">
        <f t="shared" ref="Q24:Q36" si="11">B24</f>
        <v>111</v>
      </c>
      <c r="R24" s="773" t="s">
        <v>17</v>
      </c>
      <c r="S24" s="774">
        <f>F24</f>
        <v>100</v>
      </c>
      <c r="T24" s="773" t="s">
        <v>17</v>
      </c>
      <c r="U24" s="774">
        <f>H24</f>
        <v>100</v>
      </c>
      <c r="V24" s="773" t="s">
        <v>17</v>
      </c>
      <c r="W24" s="774">
        <f>J24</f>
        <v>100</v>
      </c>
      <c r="X24" s="1811"/>
      <c r="Y24" s="3213"/>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3"/>
      <c r="Q25" s="1793">
        <f t="shared" si="11"/>
        <v>111</v>
      </c>
      <c r="R25" s="769" t="s">
        <v>17</v>
      </c>
      <c r="S25" s="770">
        <f>F25</f>
        <v>100</v>
      </c>
      <c r="T25" s="769" t="s">
        <v>17</v>
      </c>
      <c r="U25" s="770">
        <f>H25</f>
        <v>100</v>
      </c>
      <c r="V25" s="769" t="s">
        <v>17</v>
      </c>
      <c r="W25" s="770">
        <f>J25</f>
        <v>100</v>
      </c>
      <c r="X25" s="771"/>
      <c r="Y25" s="3213"/>
      <c r="Z25" s="54">
        <f>Q25</f>
        <v>111</v>
      </c>
      <c r="AA25" s="1809">
        <f>D25/F25</f>
        <v>1</v>
      </c>
      <c r="AB25" s="1809">
        <f>D25/H25</f>
        <v>1</v>
      </c>
      <c r="AC25" s="1809">
        <f>D25/J25</f>
        <v>1</v>
      </c>
    </row>
    <row r="26" spans="1:29" ht="15">
      <c r="A26" s="651" t="s">
        <v>2564</v>
      </c>
      <c r="B26" s="69" t="s">
        <v>2713</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20" t="s">
        <v>2566</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7" t="s">
        <v>2566</v>
      </c>
      <c r="Z26" s="1812" t="str">
        <f t="shared" ref="Z26:Z36" si="15">Q26</f>
        <v>配套类型</v>
      </c>
      <c r="AA26" s="1809">
        <f t="shared" si="3"/>
        <v>1</v>
      </c>
      <c r="AB26" s="1809">
        <f t="shared" si="4"/>
        <v>1</v>
      </c>
      <c r="AC26" s="1809">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09">
        <f t="shared" si="3"/>
        <v>1</v>
      </c>
      <c r="AB27" s="1809">
        <f t="shared" si="4"/>
        <v>1</v>
      </c>
      <c r="AC27" s="1809">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7"/>
      <c r="Q28" s="1808" t="str">
        <f t="shared" si="11"/>
        <v>公共部分装修</v>
      </c>
      <c r="R28" s="773" t="s">
        <v>17</v>
      </c>
      <c r="S28" s="774">
        <f t="shared" si="12"/>
        <v>100</v>
      </c>
      <c r="T28" s="773" t="s">
        <v>17</v>
      </c>
      <c r="U28" s="774">
        <f t="shared" si="13"/>
        <v>100</v>
      </c>
      <c r="V28" s="773" t="s">
        <v>17</v>
      </c>
      <c r="W28" s="774">
        <f t="shared" si="14"/>
        <v>100</v>
      </c>
      <c r="X28" s="1811"/>
      <c r="Y28" s="3217"/>
      <c r="Z28" s="1812" t="str">
        <f t="shared" si="15"/>
        <v>公共部分装修</v>
      </c>
      <c r="AA28" s="1809">
        <f t="shared" si="3"/>
        <v>1</v>
      </c>
      <c r="AB28" s="1809">
        <f t="shared" si="4"/>
        <v>1</v>
      </c>
      <c r="AC28" s="1809">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7"/>
      <c r="Q29" s="1808" t="str">
        <f t="shared" si="11"/>
        <v>成新率</v>
      </c>
      <c r="R29" s="773" t="s">
        <v>17</v>
      </c>
      <c r="S29" s="774" t="e">
        <f t="shared" si="12"/>
        <v>#N/A</v>
      </c>
      <c r="T29" s="773" t="s">
        <v>17</v>
      </c>
      <c r="U29" s="774" t="e">
        <f t="shared" si="13"/>
        <v>#N/A</v>
      </c>
      <c r="V29" s="773" t="s">
        <v>17</v>
      </c>
      <c r="W29" s="774" t="e">
        <f t="shared" si="14"/>
        <v>#N/A</v>
      </c>
      <c r="X29" s="1811"/>
      <c r="Y29" s="3217"/>
      <c r="Z29" s="1812" t="str">
        <f t="shared" si="15"/>
        <v>成新率</v>
      </c>
      <c r="AA29" s="1809" t="e">
        <f t="shared" si="3"/>
        <v>#N/A</v>
      </c>
      <c r="AB29" s="1809" t="e">
        <f t="shared" si="4"/>
        <v>#N/A</v>
      </c>
      <c r="AC29" s="1809"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7"/>
      <c r="Q30" s="1808" t="str">
        <f t="shared" si="11"/>
        <v>物业等级</v>
      </c>
      <c r="R30" s="773" t="s">
        <v>17</v>
      </c>
      <c r="S30" s="774">
        <f t="shared" si="12"/>
        <v>100</v>
      </c>
      <c r="T30" s="773" t="s">
        <v>17</v>
      </c>
      <c r="U30" s="774">
        <f t="shared" si="13"/>
        <v>100</v>
      </c>
      <c r="V30" s="773" t="s">
        <v>17</v>
      </c>
      <c r="W30" s="774">
        <f t="shared" si="14"/>
        <v>100</v>
      </c>
      <c r="X30" s="1811"/>
      <c r="Y30" s="3217"/>
      <c r="Z30" s="1812" t="str">
        <f t="shared" si="15"/>
        <v>物业等级</v>
      </c>
      <c r="AA30" s="1809">
        <f t="shared" si="3"/>
        <v>1</v>
      </c>
      <c r="AB30" s="1809">
        <f t="shared" si="4"/>
        <v>1</v>
      </c>
      <c r="AC30" s="1809">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7"/>
      <c r="Q31" s="1793" t="str">
        <f t="shared" si="11"/>
        <v>停车位面积</v>
      </c>
      <c r="R31" s="769" t="s">
        <v>17</v>
      </c>
      <c r="S31" s="770" t="e">
        <f t="shared" si="12"/>
        <v>#N/A</v>
      </c>
      <c r="T31" s="769" t="s">
        <v>17</v>
      </c>
      <c r="U31" s="770" t="e">
        <f t="shared" si="13"/>
        <v>#N/A</v>
      </c>
      <c r="V31" s="769" t="s">
        <v>17</v>
      </c>
      <c r="W31" s="770" t="e">
        <f t="shared" si="14"/>
        <v>#N/A</v>
      </c>
      <c r="X31" s="771"/>
      <c r="Y31" s="3217"/>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7" t="s">
        <v>2566</v>
      </c>
      <c r="Q32" s="1808" t="str">
        <f t="shared" si="11"/>
        <v>车位类型</v>
      </c>
      <c r="R32" s="773" t="s">
        <v>17</v>
      </c>
      <c r="S32" s="774">
        <f t="shared" si="12"/>
        <v>100</v>
      </c>
      <c r="T32" s="773" t="s">
        <v>17</v>
      </c>
      <c r="U32" s="774">
        <f t="shared" si="13"/>
        <v>100</v>
      </c>
      <c r="V32" s="773" t="s">
        <v>17</v>
      </c>
      <c r="W32" s="774">
        <f t="shared" si="14"/>
        <v>100</v>
      </c>
      <c r="X32" s="1811"/>
      <c r="Y32" s="3217" t="s">
        <v>2566</v>
      </c>
      <c r="Z32" s="1812" t="str">
        <f t="shared" si="15"/>
        <v>车位类型</v>
      </c>
      <c r="AA32" s="1809">
        <f t="shared" si="3"/>
        <v>1</v>
      </c>
      <c r="AB32" s="1809">
        <f t="shared" si="4"/>
        <v>1</v>
      </c>
      <c r="AC32" s="1809">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7"/>
      <c r="Q33" s="1808" t="str">
        <f t="shared" si="11"/>
        <v>是否直接入户</v>
      </c>
      <c r="R33" s="773" t="s">
        <v>17</v>
      </c>
      <c r="S33" s="774">
        <f t="shared" si="12"/>
        <v>100</v>
      </c>
      <c r="T33" s="773" t="s">
        <v>17</v>
      </c>
      <c r="U33" s="774">
        <f t="shared" si="13"/>
        <v>100</v>
      </c>
      <c r="V33" s="773" t="s">
        <v>17</v>
      </c>
      <c r="W33" s="774">
        <f t="shared" si="14"/>
        <v>100</v>
      </c>
      <c r="X33" s="1811"/>
      <c r="Y33" s="321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7"/>
      <c r="Q34" s="1808">
        <f t="shared" si="11"/>
        <v>111</v>
      </c>
      <c r="R34" s="773" t="s">
        <v>17</v>
      </c>
      <c r="S34" s="774">
        <f t="shared" si="12"/>
        <v>100</v>
      </c>
      <c r="T34" s="773" t="s">
        <v>17</v>
      </c>
      <c r="U34" s="774">
        <f t="shared" si="13"/>
        <v>100</v>
      </c>
      <c r="V34" s="773" t="s">
        <v>17</v>
      </c>
      <c r="W34" s="774">
        <f t="shared" si="14"/>
        <v>100</v>
      </c>
      <c r="X34" s="1811"/>
      <c r="Y34" s="321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7"/>
      <c r="Q36" s="1808">
        <f t="shared" si="11"/>
        <v>111</v>
      </c>
      <c r="R36" s="773" t="s">
        <v>17</v>
      </c>
      <c r="S36" s="774">
        <f t="shared" si="12"/>
        <v>100</v>
      </c>
      <c r="T36" s="773" t="s">
        <v>17</v>
      </c>
      <c r="U36" s="774">
        <f t="shared" si="13"/>
        <v>100</v>
      </c>
      <c r="V36" s="773" t="s">
        <v>17</v>
      </c>
      <c r="W36" s="774">
        <f t="shared" si="14"/>
        <v>100</v>
      </c>
      <c r="X36" s="1811"/>
      <c r="Y36" s="3217"/>
      <c r="Z36" s="1812">
        <f t="shared" si="15"/>
        <v>111</v>
      </c>
      <c r="AA36" s="1809">
        <f t="shared" si="3"/>
        <v>1</v>
      </c>
      <c r="AB36" s="1809">
        <f t="shared" si="4"/>
        <v>1</v>
      </c>
      <c r="AC36" s="1809">
        <f t="shared" si="5"/>
        <v>1</v>
      </c>
    </row>
    <row r="37" spans="1:29" ht="15">
      <c r="A37" s="478" t="s">
        <v>2721</v>
      </c>
      <c r="B37" s="2692" t="s">
        <v>2722</v>
      </c>
      <c r="C37" s="1405" t="s">
        <v>1</v>
      </c>
      <c r="D37" s="1406"/>
      <c r="E37" s="1407"/>
      <c r="F37" s="1408"/>
      <c r="G37" s="1409"/>
      <c r="H37" s="1410"/>
      <c r="I37" s="1407"/>
      <c r="J37" s="1410"/>
      <c r="K37" s="618"/>
      <c r="L37" s="1141"/>
      <c r="M37" s="1142"/>
      <c r="N37" s="1129"/>
      <c r="O37" s="1142"/>
      <c r="P37" s="3205" t="str">
        <f>A37</f>
        <v>成交单价</v>
      </c>
      <c r="Q37" s="3205"/>
      <c r="R37" s="3206">
        <f>E37</f>
        <v>0</v>
      </c>
      <c r="S37" s="3206"/>
      <c r="T37" s="3206">
        <f>G37</f>
        <v>0</v>
      </c>
      <c r="U37" s="3206"/>
      <c r="V37" s="3206">
        <f>I37</f>
        <v>0</v>
      </c>
      <c r="W37" s="3206"/>
      <c r="X37" s="758"/>
      <c r="Y37" s="780"/>
      <c r="Z37" s="758"/>
      <c r="AA37" s="758"/>
      <c r="AB37" s="758"/>
      <c r="AC37" s="758"/>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8"/>
      <c r="Y38" s="758"/>
      <c r="Z38" s="758"/>
      <c r="AA38" s="758"/>
      <c r="AB38" s="758"/>
      <c r="AC38" s="758"/>
    </row>
    <row r="39" spans="1:29" ht="15.75" thickBot="1">
      <c r="A39" s="491" t="s">
        <v>2724</v>
      </c>
      <c r="B39" s="492"/>
      <c r="C39" s="1415" t="e">
        <f>R39</f>
        <v>#DIV/0!</v>
      </c>
      <c r="D39" s="1415"/>
      <c r="E39" s="1415"/>
      <c r="F39" s="1415"/>
      <c r="G39" s="1415"/>
      <c r="H39" s="1415"/>
      <c r="I39" s="1415"/>
      <c r="J39" s="1415"/>
      <c r="K39" s="620"/>
      <c r="L39" s="1141"/>
      <c r="M39" s="1142"/>
      <c r="N39" s="1142"/>
      <c r="O39" s="1142"/>
      <c r="P39" s="3307" t="str">
        <f>A39</f>
        <v>估价对象XX用房的比较价值（楼面单价，元/平方米）</v>
      </c>
      <c r="Q39" s="3308"/>
      <c r="R39" s="3309" t="e">
        <f>IF(F1="售价",ROUND(AVERAGE(R38:V38),0),ROUND(AVERAGE(R38:V38),1))</f>
        <v>#DIV/0!</v>
      </c>
      <c r="S39" s="3309"/>
      <c r="T39" s="3309"/>
      <c r="U39" s="3309"/>
      <c r="V39" s="3309"/>
      <c r="W39" s="3309"/>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2" t="str">
        <f>YEAR(C7)&amp;"-"&amp;MONTH(C7)</f>
        <v>2018-5</v>
      </c>
      <c r="D48" s="1573">
        <f>EDATE(C48,-1)</f>
        <v>43191</v>
      </c>
      <c r="E48" s="1573">
        <f t="shared" ref="E48:O48" si="16">EDATE(D48,-1)</f>
        <v>43160</v>
      </c>
      <c r="F48" s="1573">
        <f t="shared" si="16"/>
        <v>43132</v>
      </c>
      <c r="G48" s="1573">
        <f t="shared" si="16"/>
        <v>43101</v>
      </c>
      <c r="H48" s="1573">
        <f t="shared" si="16"/>
        <v>43070</v>
      </c>
      <c r="I48" s="1573">
        <f t="shared" si="16"/>
        <v>43040</v>
      </c>
      <c r="J48" s="1573">
        <f t="shared" si="16"/>
        <v>43009</v>
      </c>
      <c r="K48" s="1573">
        <f t="shared" si="16"/>
        <v>42979</v>
      </c>
      <c r="L48" s="1573">
        <f t="shared" si="16"/>
        <v>42948</v>
      </c>
      <c r="M48" s="1573">
        <f t="shared" si="16"/>
        <v>42917</v>
      </c>
      <c r="N48" s="1573">
        <f t="shared" si="16"/>
        <v>42887</v>
      </c>
      <c r="O48" s="1573">
        <f t="shared" si="16"/>
        <v>42856</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2708</v>
      </c>
      <c r="B1" s="1617"/>
      <c r="C1" s="1618" t="s">
        <v>2531</v>
      </c>
      <c r="D1" s="1619"/>
      <c r="E1" s="1628"/>
      <c r="F1" s="2582"/>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2328</v>
      </c>
      <c r="B2" s="1416" t="e">
        <f ca="1">IF(C2="——",ROUND(C37*D3/10000,0),ROUND(C37*D3/10000,0)-D2)</f>
        <v>#DIV/0!</v>
      </c>
      <c r="C2" s="2584"/>
      <c r="D2" s="1122" t="e">
        <f ca="1">SUMIF(INDIRECT("'"&amp;F2&amp;"'"&amp;"!A:A"),"承租人权益价值",INDIRECT("'"&amp;F2&amp;"'"&amp;"!c:c"))</f>
        <v>#REF!</v>
      </c>
      <c r="E2" s="2585" t="s">
        <v>2329</v>
      </c>
      <c r="F2" s="2586"/>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43236</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246" t="s">
        <v>2550</v>
      </c>
      <c r="Q7" s="3247"/>
      <c r="R7" s="769" t="s">
        <v>17</v>
      </c>
      <c r="S7" s="770">
        <f t="shared" ref="S7:S14" si="0">F7</f>
        <v>0</v>
      </c>
      <c r="T7" s="769" t="s">
        <v>17</v>
      </c>
      <c r="U7" s="770">
        <f t="shared" ref="U7:U14" si="1">H7</f>
        <v>0</v>
      </c>
      <c r="V7" s="769" t="s">
        <v>17</v>
      </c>
      <c r="W7" s="770">
        <f t="shared" ref="W7:W14" si="2">J7</f>
        <v>0</v>
      </c>
      <c r="X7" s="771"/>
      <c r="Y7" s="3246" t="s">
        <v>2550</v>
      </c>
      <c r="Z7" s="3245"/>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5" t="s">
        <v>2556</v>
      </c>
      <c r="Q9" s="1793" t="str">
        <f t="shared" ref="Q9:Q14" si="6">B9</f>
        <v>用途</v>
      </c>
      <c r="R9" s="769" t="s">
        <v>17</v>
      </c>
      <c r="S9" s="770">
        <f t="shared" si="0"/>
        <v>100</v>
      </c>
      <c r="T9" s="769" t="s">
        <v>17</v>
      </c>
      <c r="U9" s="770">
        <f t="shared" si="1"/>
        <v>100</v>
      </c>
      <c r="V9" s="769" t="s">
        <v>17</v>
      </c>
      <c r="W9" s="770">
        <f t="shared" si="2"/>
        <v>100</v>
      </c>
      <c r="X9" s="771"/>
      <c r="Y9" s="3062"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5"/>
      <c r="Q10" s="1793" t="str">
        <f t="shared" si="6"/>
        <v>土地使用年限（年）</v>
      </c>
      <c r="R10" s="769" t="s">
        <v>17</v>
      </c>
      <c r="S10" s="770">
        <f t="shared" si="0"/>
        <v>100</v>
      </c>
      <c r="T10" s="769" t="s">
        <v>17</v>
      </c>
      <c r="U10" s="770">
        <f t="shared" si="1"/>
        <v>100</v>
      </c>
      <c r="V10" s="769" t="s">
        <v>17</v>
      </c>
      <c r="W10" s="770">
        <f t="shared" si="2"/>
        <v>100</v>
      </c>
      <c r="X10" s="771"/>
      <c r="Y10" s="3062"/>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5"/>
      <c r="Q11" s="1793">
        <f t="shared" si="6"/>
        <v>111</v>
      </c>
      <c r="R11" s="769" t="s">
        <v>17</v>
      </c>
      <c r="S11" s="770">
        <f t="shared" si="0"/>
        <v>100</v>
      </c>
      <c r="T11" s="769" t="s">
        <v>17</v>
      </c>
      <c r="U11" s="770">
        <f t="shared" si="1"/>
        <v>100</v>
      </c>
      <c r="V11" s="769" t="s">
        <v>17</v>
      </c>
      <c r="W11" s="770">
        <f t="shared" si="2"/>
        <v>100</v>
      </c>
      <c r="X11" s="771"/>
      <c r="Y11" s="3062"/>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71.25">
      <c r="A14" s="439" t="s">
        <v>2560</v>
      </c>
      <c r="B14" s="68" t="s">
        <v>2710</v>
      </c>
      <c r="C14" s="2690" t="str">
        <f>IF(B1="工业",估价对象房地状况!G4,估价对象房地状况!C6)</f>
        <v>估价对象周边道路通达、公共交通便捷、停车便捷，综合评价交通便捷度较好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2" t="s">
        <v>2561</v>
      </c>
      <c r="Q14" s="1808" t="str">
        <f t="shared" si="6"/>
        <v>交通便捷度</v>
      </c>
      <c r="R14" s="773" t="s">
        <v>17</v>
      </c>
      <c r="S14" s="774">
        <f t="shared" si="0"/>
        <v>100</v>
      </c>
      <c r="T14" s="773" t="s">
        <v>17</v>
      </c>
      <c r="U14" s="774">
        <f t="shared" si="1"/>
        <v>100</v>
      </c>
      <c r="V14" s="773" t="s">
        <v>17</v>
      </c>
      <c r="W14" s="774">
        <f t="shared" si="2"/>
        <v>100</v>
      </c>
      <c r="X14" s="1811"/>
      <c r="Y14" s="3212" t="s">
        <v>2561</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13"/>
      <c r="Q15" s="1808"/>
      <c r="R15" s="773"/>
      <c r="S15" s="774"/>
      <c r="T15" s="773"/>
      <c r="U15" s="774"/>
      <c r="V15" s="773"/>
      <c r="W15" s="774"/>
      <c r="X15" s="1811"/>
      <c r="Y15" s="3213"/>
      <c r="Z15" s="1812"/>
      <c r="AA15" s="1809">
        <v>1</v>
      </c>
      <c r="AB15" s="1809">
        <v>1</v>
      </c>
      <c r="AC15" s="1809">
        <v>1</v>
      </c>
    </row>
    <row r="16" spans="1:29" ht="42.75">
      <c r="A16" s="427"/>
      <c r="B16" s="450" t="s">
        <v>2689</v>
      </c>
      <c r="C16" s="2605" t="str">
        <f>IF(B1="工业",估价对象房地状况!G5,估价对象房地状况!C7)</f>
        <v>估价对象所在区域公共配套设施较齐备</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3"/>
      <c r="Q16" s="1808" t="str">
        <f>B16</f>
        <v>公共配套设施</v>
      </c>
      <c r="R16" s="773" t="s">
        <v>17</v>
      </c>
      <c r="S16" s="774">
        <f>F16</f>
        <v>100</v>
      </c>
      <c r="T16" s="773" t="s">
        <v>17</v>
      </c>
      <c r="U16" s="774">
        <f>H16</f>
        <v>100</v>
      </c>
      <c r="V16" s="773" t="s">
        <v>17</v>
      </c>
      <c r="W16" s="774">
        <f>J16</f>
        <v>100</v>
      </c>
      <c r="X16" s="1811"/>
      <c r="Y16" s="3213"/>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13"/>
      <c r="Q17" s="1808"/>
      <c r="R17" s="773"/>
      <c r="S17" s="774"/>
      <c r="T17" s="773"/>
      <c r="U17" s="774"/>
      <c r="V17" s="773"/>
      <c r="W17" s="774"/>
      <c r="X17" s="1811"/>
      <c r="Y17" s="3213"/>
      <c r="Z17" s="1812"/>
      <c r="AA17" s="1809">
        <v>1</v>
      </c>
      <c r="AB17" s="1809">
        <v>1</v>
      </c>
      <c r="AC17" s="1809">
        <v>1</v>
      </c>
    </row>
    <row r="18" spans="1:29" ht="42.75">
      <c r="A18" s="427"/>
      <c r="B18" s="1382" t="s">
        <v>2690</v>
      </c>
      <c r="C18" s="2605"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3"/>
      <c r="Q18" s="1808" t="str">
        <f>B18</f>
        <v>基础设施水平</v>
      </c>
      <c r="R18" s="773" t="s">
        <v>17</v>
      </c>
      <c r="S18" s="774">
        <f>F18</f>
        <v>100</v>
      </c>
      <c r="T18" s="773" t="s">
        <v>17</v>
      </c>
      <c r="U18" s="774">
        <f>H18</f>
        <v>100</v>
      </c>
      <c r="V18" s="773" t="s">
        <v>17</v>
      </c>
      <c r="W18" s="774">
        <f>J18</f>
        <v>100</v>
      </c>
      <c r="X18" s="1811"/>
      <c r="Y18" s="3213"/>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13"/>
      <c r="Q19" s="1808"/>
      <c r="R19" s="773"/>
      <c r="S19" s="774"/>
      <c r="T19" s="773"/>
      <c r="U19" s="774"/>
      <c r="V19" s="773"/>
      <c r="W19" s="774"/>
      <c r="X19" s="1811"/>
      <c r="Y19" s="3213"/>
      <c r="Z19" s="1812"/>
      <c r="AA19" s="1809">
        <v>1</v>
      </c>
      <c r="AB19" s="1809">
        <v>1</v>
      </c>
      <c r="AC19" s="1809">
        <v>1</v>
      </c>
    </row>
    <row r="20" spans="1:29" ht="57">
      <c r="A20" s="427"/>
      <c r="B20" s="450" t="s">
        <v>2711</v>
      </c>
      <c r="C20" s="2605" t="str">
        <f>IF(B1="工业",估价对象房地状况!G7,估价对象房地状况!C9)</f>
        <v>区域自然环境较好；人文环境一般；综合评价环境状况较好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3"/>
      <c r="Q20" s="1808" t="str">
        <f>B20</f>
        <v>自然及人文环境</v>
      </c>
      <c r="R20" s="773" t="s">
        <v>17</v>
      </c>
      <c r="S20" s="774">
        <f>F20</f>
        <v>100</v>
      </c>
      <c r="T20" s="773" t="s">
        <v>17</v>
      </c>
      <c r="U20" s="774">
        <f>H20</f>
        <v>100</v>
      </c>
      <c r="V20" s="773" t="s">
        <v>17</v>
      </c>
      <c r="W20" s="774">
        <f>J20</f>
        <v>100</v>
      </c>
      <c r="X20" s="1811"/>
      <c r="Y20" s="321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13"/>
      <c r="Q21" s="1808"/>
      <c r="R21" s="773"/>
      <c r="S21" s="774"/>
      <c r="T21" s="773"/>
      <c r="U21" s="774"/>
      <c r="V21" s="773"/>
      <c r="W21" s="774"/>
      <c r="X21" s="1811"/>
      <c r="Y21" s="3213"/>
      <c r="Z21" s="1812"/>
      <c r="AA21" s="1809">
        <v>1</v>
      </c>
      <c r="AB21" s="1809">
        <v>1</v>
      </c>
      <c r="AC21" s="1809">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3"/>
      <c r="Q22" s="1808" t="str">
        <f>B22</f>
        <v>楼层</v>
      </c>
      <c r="R22" s="773" t="s">
        <v>17</v>
      </c>
      <c r="S22" s="774">
        <f>F22</f>
        <v>100</v>
      </c>
      <c r="T22" s="773" t="s">
        <v>17</v>
      </c>
      <c r="U22" s="774">
        <f>H22</f>
        <v>100</v>
      </c>
      <c r="V22" s="773" t="s">
        <v>17</v>
      </c>
      <c r="W22" s="774">
        <f>J22</f>
        <v>100</v>
      </c>
      <c r="X22" s="1811"/>
      <c r="Y22" s="3213"/>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3"/>
      <c r="Q23" s="1808">
        <f>B23</f>
        <v>111</v>
      </c>
      <c r="R23" s="773" t="s">
        <v>17</v>
      </c>
      <c r="S23" s="774">
        <f>F23</f>
        <v>100</v>
      </c>
      <c r="T23" s="773" t="s">
        <v>17</v>
      </c>
      <c r="U23" s="774">
        <f>H23</f>
        <v>100</v>
      </c>
      <c r="V23" s="773" t="s">
        <v>17</v>
      </c>
      <c r="W23" s="774">
        <f>J23</f>
        <v>100</v>
      </c>
      <c r="X23" s="1811"/>
      <c r="Y23" s="3213"/>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3"/>
      <c r="Q24" s="1808">
        <f t="shared" ref="Q24:Q34" si="11">B24</f>
        <v>111</v>
      </c>
      <c r="R24" s="773" t="s">
        <v>17</v>
      </c>
      <c r="S24" s="774">
        <f>F24</f>
        <v>100</v>
      </c>
      <c r="T24" s="773" t="s">
        <v>17</v>
      </c>
      <c r="U24" s="774">
        <f>H24</f>
        <v>100</v>
      </c>
      <c r="V24" s="773" t="s">
        <v>17</v>
      </c>
      <c r="W24" s="774">
        <f>J24</f>
        <v>100</v>
      </c>
      <c r="X24" s="1811"/>
      <c r="Y24" s="3213"/>
      <c r="Z24" s="1812">
        <f>Q24</f>
        <v>111</v>
      </c>
      <c r="AA24" s="1809">
        <f t="shared" si="3"/>
        <v>1</v>
      </c>
      <c r="AB24" s="1809">
        <f t="shared" si="4"/>
        <v>1</v>
      </c>
      <c r="AC24" s="1809">
        <f t="shared" si="5"/>
        <v>1</v>
      </c>
    </row>
    <row r="25" spans="1:29" s="116" customFormat="1" ht="15.75" thickBot="1">
      <c r="A25" s="430"/>
      <c r="B25" s="2598">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213"/>
      <c r="Q25" s="1793">
        <f t="shared" si="11"/>
        <v>111</v>
      </c>
      <c r="R25" s="769" t="s">
        <v>17</v>
      </c>
      <c r="S25" s="770">
        <f>F25</f>
        <v>100</v>
      </c>
      <c r="T25" s="769" t="s">
        <v>17</v>
      </c>
      <c r="U25" s="770">
        <f>H25</f>
        <v>100</v>
      </c>
      <c r="V25" s="769" t="s">
        <v>17</v>
      </c>
      <c r="W25" s="770">
        <f>J25</f>
        <v>100</v>
      </c>
      <c r="X25" s="771"/>
      <c r="Y25" s="3213"/>
      <c r="Z25" s="54">
        <f>Q25</f>
        <v>111</v>
      </c>
      <c r="AA25" s="1809">
        <f>D25/F25</f>
        <v>1</v>
      </c>
      <c r="AB25" s="1809">
        <f>D25/H25</f>
        <v>1</v>
      </c>
      <c r="AC25" s="1809">
        <f>D25/J25</f>
        <v>1</v>
      </c>
    </row>
    <row r="26" spans="1:29" ht="15">
      <c r="A26" s="465" t="s">
        <v>2564</v>
      </c>
      <c r="B26" s="70" t="s">
        <v>2715</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320" t="s">
        <v>2566</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7" t="s">
        <v>2566</v>
      </c>
      <c r="Z26" s="1812" t="str">
        <f t="shared" ref="Z26:Z34" si="15">Q26</f>
        <v>公共部分装修</v>
      </c>
      <c r="AA26" s="1809">
        <f t="shared" si="3"/>
        <v>1</v>
      </c>
      <c r="AB26" s="1809">
        <f t="shared" si="4"/>
        <v>1</v>
      </c>
      <c r="AC26" s="1809">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09" t="e">
        <f t="shared" si="3"/>
        <v>#N/A</v>
      </c>
      <c r="AB27" s="1809" t="e">
        <f t="shared" si="4"/>
        <v>#N/A</v>
      </c>
      <c r="AC27" s="1809"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7"/>
      <c r="Q28" s="1808" t="str">
        <f t="shared" si="11"/>
        <v>物业等级</v>
      </c>
      <c r="R28" s="773" t="s">
        <v>17</v>
      </c>
      <c r="S28" s="774">
        <f t="shared" si="12"/>
        <v>100</v>
      </c>
      <c r="T28" s="773" t="s">
        <v>17</v>
      </c>
      <c r="U28" s="774">
        <f t="shared" si="13"/>
        <v>100</v>
      </c>
      <c r="V28" s="773" t="s">
        <v>17</v>
      </c>
      <c r="W28" s="774">
        <f t="shared" si="14"/>
        <v>100</v>
      </c>
      <c r="X28" s="1811"/>
      <c r="Y28" s="3217"/>
      <c r="Z28" s="1812" t="str">
        <f t="shared" si="15"/>
        <v>物业等级</v>
      </c>
      <c r="AA28" s="1809">
        <f t="shared" si="3"/>
        <v>1</v>
      </c>
      <c r="AB28" s="1809">
        <f t="shared" si="4"/>
        <v>1</v>
      </c>
      <c r="AC28" s="1809">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7"/>
      <c r="Q29" s="1808" t="str">
        <f t="shared" si="11"/>
        <v>有无电梯</v>
      </c>
      <c r="R29" s="773" t="s">
        <v>17</v>
      </c>
      <c r="S29" s="774">
        <f t="shared" si="12"/>
        <v>100</v>
      </c>
      <c r="T29" s="773" t="s">
        <v>17</v>
      </c>
      <c r="U29" s="774">
        <f t="shared" si="13"/>
        <v>100</v>
      </c>
      <c r="V29" s="773" t="s">
        <v>17</v>
      </c>
      <c r="W29" s="774">
        <f t="shared" si="14"/>
        <v>100</v>
      </c>
      <c r="X29" s="1811"/>
      <c r="Y29" s="3217"/>
      <c r="Z29" s="1812" t="str">
        <f t="shared" si="15"/>
        <v>有无电梯</v>
      </c>
      <c r="AA29" s="1809">
        <f t="shared" si="3"/>
        <v>1</v>
      </c>
      <c r="AB29" s="1809">
        <f t="shared" si="4"/>
        <v>1</v>
      </c>
      <c r="AC29" s="1809">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7"/>
      <c r="Q30" s="1808" t="str">
        <f t="shared" si="11"/>
        <v>建筑面积</v>
      </c>
      <c r="R30" s="773" t="s">
        <v>17</v>
      </c>
      <c r="S30" s="774" t="e">
        <f t="shared" si="12"/>
        <v>#N/A</v>
      </c>
      <c r="T30" s="773" t="s">
        <v>17</v>
      </c>
      <c r="U30" s="774" t="e">
        <f t="shared" si="13"/>
        <v>#N/A</v>
      </c>
      <c r="V30" s="773" t="s">
        <v>17</v>
      </c>
      <c r="W30" s="774" t="e">
        <f t="shared" si="14"/>
        <v>#N/A</v>
      </c>
      <c r="X30" s="1811"/>
      <c r="Y30" s="3217"/>
      <c r="Z30" s="1812" t="str">
        <f t="shared" si="15"/>
        <v>建筑面积</v>
      </c>
      <c r="AA30" s="1809" t="e">
        <f t="shared" si="3"/>
        <v>#N/A</v>
      </c>
      <c r="AB30" s="1809" t="e">
        <f t="shared" si="4"/>
        <v>#N/A</v>
      </c>
      <c r="AC30" s="1809"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7"/>
      <c r="Q31" s="1793" t="str">
        <f t="shared" si="11"/>
        <v>是否封闭</v>
      </c>
      <c r="R31" s="769" t="s">
        <v>17</v>
      </c>
      <c r="S31" s="770">
        <f t="shared" si="12"/>
        <v>100</v>
      </c>
      <c r="T31" s="769" t="s">
        <v>17</v>
      </c>
      <c r="U31" s="770">
        <f t="shared" si="13"/>
        <v>100</v>
      </c>
      <c r="V31" s="769" t="s">
        <v>17</v>
      </c>
      <c r="W31" s="770">
        <f t="shared" si="14"/>
        <v>100</v>
      </c>
      <c r="X31" s="771"/>
      <c r="Y31" s="3217"/>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7" t="s">
        <v>2566</v>
      </c>
      <c r="Q32" s="1808">
        <f t="shared" si="11"/>
        <v>111</v>
      </c>
      <c r="R32" s="773" t="s">
        <v>17</v>
      </c>
      <c r="S32" s="774">
        <f t="shared" si="12"/>
        <v>100</v>
      </c>
      <c r="T32" s="773" t="s">
        <v>17</v>
      </c>
      <c r="U32" s="774">
        <f t="shared" si="13"/>
        <v>100</v>
      </c>
      <c r="V32" s="773" t="s">
        <v>17</v>
      </c>
      <c r="W32" s="774">
        <f t="shared" si="14"/>
        <v>100</v>
      </c>
      <c r="X32" s="1811"/>
      <c r="Y32" s="3217" t="s">
        <v>2566</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7"/>
      <c r="Q33" s="1808">
        <f t="shared" si="11"/>
        <v>111</v>
      </c>
      <c r="R33" s="773" t="s">
        <v>17</v>
      </c>
      <c r="S33" s="774">
        <f t="shared" si="12"/>
        <v>100</v>
      </c>
      <c r="T33" s="773" t="s">
        <v>17</v>
      </c>
      <c r="U33" s="774">
        <f t="shared" si="13"/>
        <v>100</v>
      </c>
      <c r="V33" s="773" t="s">
        <v>17</v>
      </c>
      <c r="W33" s="774">
        <f t="shared" si="14"/>
        <v>100</v>
      </c>
      <c r="X33" s="1811"/>
      <c r="Y33" s="3217"/>
      <c r="Z33" s="1812">
        <f t="shared" si="15"/>
        <v>111</v>
      </c>
      <c r="AA33" s="1809">
        <f t="shared" si="3"/>
        <v>1</v>
      </c>
      <c r="AB33" s="1809">
        <f t="shared" si="4"/>
        <v>1</v>
      </c>
      <c r="AC33" s="1809">
        <f t="shared" si="5"/>
        <v>1</v>
      </c>
    </row>
    <row r="34" spans="1:29" ht="15.75" thickBot="1">
      <c r="A34" s="477"/>
      <c r="B34" s="2600">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17"/>
      <c r="Q34" s="1808">
        <f t="shared" si="11"/>
        <v>111</v>
      </c>
      <c r="R34" s="773" t="s">
        <v>17</v>
      </c>
      <c r="S34" s="774">
        <f t="shared" si="12"/>
        <v>100</v>
      </c>
      <c r="T34" s="773" t="s">
        <v>17</v>
      </c>
      <c r="U34" s="774">
        <f t="shared" si="13"/>
        <v>100</v>
      </c>
      <c r="V34" s="773" t="s">
        <v>17</v>
      </c>
      <c r="W34" s="774">
        <f t="shared" si="14"/>
        <v>100</v>
      </c>
      <c r="X34" s="1811"/>
      <c r="Y34" s="3217"/>
      <c r="Z34" s="1812">
        <f t="shared" si="15"/>
        <v>111</v>
      </c>
      <c r="AA34" s="1809">
        <f t="shared" si="3"/>
        <v>1</v>
      </c>
      <c r="AB34" s="1809">
        <f t="shared" si="4"/>
        <v>1</v>
      </c>
      <c r="AC34" s="1809">
        <f t="shared" si="5"/>
        <v>1</v>
      </c>
    </row>
    <row r="35" spans="1:29" ht="15">
      <c r="A35" s="478" t="s">
        <v>2578</v>
      </c>
      <c r="B35" s="479"/>
      <c r="C35" s="1405" t="s">
        <v>1</v>
      </c>
      <c r="D35" s="1406"/>
      <c r="E35" s="1407"/>
      <c r="F35" s="1408"/>
      <c r="G35" s="1409"/>
      <c r="H35" s="1410"/>
      <c r="I35" s="1407"/>
      <c r="J35" s="1410"/>
      <c r="K35" s="782"/>
      <c r="L35" s="1141"/>
      <c r="M35" s="1142"/>
      <c r="N35" s="1129"/>
      <c r="O35" s="1142"/>
      <c r="P35" s="3205" t="str">
        <f>A35</f>
        <v>成交单价（元/平方米）</v>
      </c>
      <c r="Q35" s="3205"/>
      <c r="R35" s="3206">
        <f>E35</f>
        <v>0</v>
      </c>
      <c r="S35" s="3206"/>
      <c r="T35" s="3206">
        <f>G35</f>
        <v>0</v>
      </c>
      <c r="U35" s="3206"/>
      <c r="V35" s="3206">
        <f>I35</f>
        <v>0</v>
      </c>
      <c r="W35" s="3206"/>
      <c r="X35" s="758"/>
      <c r="Y35" s="780"/>
      <c r="Z35" s="758"/>
      <c r="AA35" s="758"/>
      <c r="AB35" s="758"/>
      <c r="AC35" s="758"/>
    </row>
    <row r="36" spans="1:29" ht="15.75" thickBot="1">
      <c r="A36" s="485" t="s">
        <v>2670</v>
      </c>
      <c r="B36" s="486"/>
      <c r="C36" s="1411" t="e">
        <f>R37</f>
        <v>#DIV/0!</v>
      </c>
      <c r="D36" s="1412"/>
      <c r="E36" s="1413" t="e">
        <f>R36</f>
        <v>#DIV/0!</v>
      </c>
      <c r="F36" s="1413"/>
      <c r="G36" s="1411" t="e">
        <f>T36</f>
        <v>#DIV/0!</v>
      </c>
      <c r="H36" s="1412"/>
      <c r="I36" s="1413" t="e">
        <f>V36</f>
        <v>#DIV/0!</v>
      </c>
      <c r="J36" s="1412"/>
      <c r="K36" s="783"/>
      <c r="L36" s="1141"/>
      <c r="M36" s="1142"/>
      <c r="N36" s="1129"/>
      <c r="O36" s="1142"/>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8"/>
      <c r="Y36" s="758"/>
      <c r="Z36" s="758"/>
      <c r="AA36" s="758"/>
      <c r="AB36" s="758"/>
      <c r="AC36" s="758"/>
    </row>
    <row r="37" spans="1:29" ht="15.75" thickBot="1">
      <c r="A37" s="491" t="s">
        <v>2671</v>
      </c>
      <c r="B37" s="492"/>
      <c r="C37" s="1415" t="e">
        <f>R37</f>
        <v>#DIV/0!</v>
      </c>
      <c r="D37" s="1415"/>
      <c r="E37" s="1415"/>
      <c r="F37" s="1415"/>
      <c r="G37" s="1415"/>
      <c r="H37" s="1415"/>
      <c r="I37" s="1415"/>
      <c r="J37" s="1415"/>
      <c r="K37" s="784"/>
      <c r="L37" s="1141"/>
      <c r="M37" s="1142"/>
      <c r="N37" s="1142"/>
      <c r="O37" s="1142"/>
      <c r="P37" s="3307" t="str">
        <f>A37</f>
        <v>估价对象XX用房的比较价值（楼面单价，元/平方米）</v>
      </c>
      <c r="Q37" s="3308"/>
      <c r="R37" s="3309" t="e">
        <f>IF(F1="售价",ROUND(AVERAGE(R36:V36),0),ROUND(AVERAGE(R36:V36),1))</f>
        <v>#DIV/0!</v>
      </c>
      <c r="S37" s="3309"/>
      <c r="T37" s="3309"/>
      <c r="U37" s="3309"/>
      <c r="V37" s="3309"/>
      <c r="W37" s="3309"/>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2" t="str">
        <f>YEAR(C7)&amp;"-"&amp;MONTH(C7)</f>
        <v>2018-5</v>
      </c>
      <c r="D46" s="1573">
        <f>EDATE(C46,-1)</f>
        <v>43191</v>
      </c>
      <c r="E46" s="1573">
        <f t="shared" ref="E46:O46" si="16">EDATE(D46,-1)</f>
        <v>43160</v>
      </c>
      <c r="F46" s="1573">
        <f t="shared" si="16"/>
        <v>43132</v>
      </c>
      <c r="G46" s="1573">
        <f t="shared" si="16"/>
        <v>43101</v>
      </c>
      <c r="H46" s="1573">
        <f t="shared" si="16"/>
        <v>43070</v>
      </c>
      <c r="I46" s="1573">
        <f t="shared" si="16"/>
        <v>43040</v>
      </c>
      <c r="J46" s="1573">
        <f t="shared" si="16"/>
        <v>43009</v>
      </c>
      <c r="K46" s="1573">
        <f t="shared" si="16"/>
        <v>42979</v>
      </c>
      <c r="L46" s="1573">
        <f t="shared" si="16"/>
        <v>42948</v>
      </c>
      <c r="M46" s="1573">
        <f t="shared" si="16"/>
        <v>42917</v>
      </c>
      <c r="N46" s="1573">
        <f t="shared" si="16"/>
        <v>42887</v>
      </c>
      <c r="O46" s="1573">
        <f t="shared" si="16"/>
        <v>42856</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2730</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2742</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30"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30" ht="15.75" thickBot="1">
      <c r="A6" s="405"/>
      <c r="B6" s="406"/>
      <c r="C6" s="3240" t="s">
        <v>2547</v>
      </c>
      <c r="D6" s="3241"/>
      <c r="E6" s="3317" t="s">
        <v>2547</v>
      </c>
      <c r="F6" s="3318"/>
      <c r="G6" s="3240" t="s">
        <v>2547</v>
      </c>
      <c r="H6" s="3241"/>
      <c r="I6" s="3240" t="s">
        <v>2547</v>
      </c>
      <c r="J6" s="3241"/>
      <c r="K6" s="609" t="s">
        <v>2548</v>
      </c>
      <c r="L6" s="1128"/>
      <c r="M6" s="1129"/>
      <c r="N6" s="1129"/>
      <c r="O6" s="1129"/>
      <c r="P6" s="3314"/>
      <c r="Q6" s="3231"/>
      <c r="R6" s="3234"/>
      <c r="S6" s="3235"/>
      <c r="T6" s="3236"/>
      <c r="U6" s="3237"/>
      <c r="V6" s="3239"/>
      <c r="W6" s="3239"/>
      <c r="X6" s="1811"/>
      <c r="Y6" s="3236"/>
      <c r="Z6" s="3237"/>
      <c r="AA6" s="3252"/>
      <c r="AB6" s="3252"/>
      <c r="AC6" s="3252"/>
    </row>
    <row r="7" spans="1:30" s="116" customFormat="1" ht="15.75" thickBot="1">
      <c r="A7" s="407" t="s">
        <v>2549</v>
      </c>
      <c r="B7" s="408"/>
      <c r="C7" s="409">
        <f>'数据-取费表'!B2</f>
        <v>43236</v>
      </c>
      <c r="D7" s="410">
        <v>100</v>
      </c>
      <c r="E7" s="411">
        <v>42309</v>
      </c>
      <c r="F7" s="412">
        <f>SUMIF(70:70,YEAR(E7)&amp;"-"&amp;INT((MONTH(E7)+2)/3),71:71)</f>
        <v>0</v>
      </c>
      <c r="G7" s="2693">
        <v>42309</v>
      </c>
      <c r="H7" s="410">
        <f>SUMIF(70:70,YEAR(G7)&amp;"-"&amp;INT((MONTH(G7)+2)/3),71:71)</f>
        <v>0</v>
      </c>
      <c r="I7" s="2693">
        <v>42036</v>
      </c>
      <c r="J7" s="410">
        <f>SUMIF(70:70,YEAR(I7)&amp;"-"&amp;INT((MONTH(I7)+2)/3),71:71)</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5" si="3">D8/F8</f>
        <v>#DIV/0!</v>
      </c>
      <c r="AB8" s="772" t="e">
        <f t="shared" ref="AB8:AB45" si="4">D8/H8</f>
        <v>#DIV/0!</v>
      </c>
      <c r="AC8" s="772" t="e">
        <f t="shared" ref="AC8:AC45" si="5">D8/J8</f>
        <v>#DIV/0!</v>
      </c>
    </row>
    <row r="9" spans="1:30" s="116" customFormat="1">
      <c r="A9" s="414" t="s">
        <v>2554</v>
      </c>
      <c r="B9" s="70" t="s">
        <v>2555</v>
      </c>
      <c r="C9" s="2696"/>
      <c r="D9" s="134">
        <v>100</v>
      </c>
      <c r="E9" s="2696"/>
      <c r="F9" s="134">
        <f>SUMIF(75:75,E9,76:76)-SUMIF(75:75,C9,76:76)+100</f>
        <v>100</v>
      </c>
      <c r="G9" s="2696"/>
      <c r="H9" s="134">
        <f>SUMIF(75:75,G9,76:76)-SUMIF(75:75,C9,76:76)+100</f>
        <v>100</v>
      </c>
      <c r="I9" s="2696"/>
      <c r="J9" s="134">
        <f>SUMIF(75:75,I9,76:76)-SUMIF(75:75,C9,76:76)+100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3"/>
      <c r="M10" s="1134"/>
      <c r="N10" s="1134"/>
      <c r="O10" s="1135"/>
      <c r="P10" s="3205"/>
      <c r="Q10" s="1793" t="str">
        <f t="shared" si="6"/>
        <v>土地使用年限（年）</v>
      </c>
      <c r="R10" s="769" t="s">
        <v>17</v>
      </c>
      <c r="S10" s="770">
        <f t="shared" si="0"/>
        <v>105</v>
      </c>
      <c r="T10" s="769" t="s">
        <v>17</v>
      </c>
      <c r="U10" s="770">
        <f t="shared" si="1"/>
        <v>105</v>
      </c>
      <c r="V10" s="769" t="s">
        <v>17</v>
      </c>
      <c r="W10" s="770">
        <f t="shared" si="2"/>
        <v>105</v>
      </c>
      <c r="X10" s="771"/>
      <c r="Y10" s="3062"/>
      <c r="Z10" s="54"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30" s="116" customFormat="1" ht="15">
      <c r="A12" s="430"/>
      <c r="B12" s="2598" t="s">
        <v>2748</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05"/>
      <c r="Q12" s="1793" t="str">
        <f t="shared" si="6"/>
        <v>配建</v>
      </c>
      <c r="R12" s="769" t="s">
        <v>17</v>
      </c>
      <c r="S12" s="770">
        <f t="shared" si="0"/>
        <v>100</v>
      </c>
      <c r="T12" s="769" t="s">
        <v>17</v>
      </c>
      <c r="U12" s="770">
        <f t="shared" si="1"/>
        <v>100</v>
      </c>
      <c r="V12" s="769" t="s">
        <v>17</v>
      </c>
      <c r="W12" s="770">
        <f t="shared" si="2"/>
        <v>100</v>
      </c>
      <c r="X12" s="771"/>
      <c r="Y12" s="3062"/>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D14/F14</f>
        <v>1</v>
      </c>
      <c r="AB14" s="772">
        <f>D14/H14</f>
        <v>1</v>
      </c>
      <c r="AC14" s="772">
        <f>D14/J14</f>
        <v>1</v>
      </c>
    </row>
    <row r="15" spans="1:30" ht="99.75">
      <c r="A15" s="439" t="s">
        <v>2560</v>
      </c>
      <c r="B15" s="68"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2" t="s">
        <v>2561</v>
      </c>
      <c r="Q15" s="1808" t="str">
        <f t="shared" si="6"/>
        <v>居住社区成熟度</v>
      </c>
      <c r="R15" s="773" t="s">
        <v>17</v>
      </c>
      <c r="S15" s="774">
        <f t="shared" si="0"/>
        <v>100</v>
      </c>
      <c r="T15" s="773" t="s">
        <v>17</v>
      </c>
      <c r="U15" s="774">
        <f t="shared" si="1"/>
        <v>100</v>
      </c>
      <c r="V15" s="773" t="s">
        <v>17</v>
      </c>
      <c r="W15" s="774">
        <f t="shared" si="2"/>
        <v>100</v>
      </c>
      <c r="X15" s="1811"/>
      <c r="Y15" s="3212" t="s">
        <v>2561</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8"/>
      <c r="M16" s="1129"/>
      <c r="N16" s="1129"/>
      <c r="O16" s="1137"/>
      <c r="P16" s="3213"/>
      <c r="Q16" s="1808"/>
      <c r="R16" s="773"/>
      <c r="S16" s="774"/>
      <c r="T16" s="773"/>
      <c r="U16" s="774"/>
      <c r="V16" s="773"/>
      <c r="W16" s="774"/>
      <c r="X16" s="1811"/>
      <c r="Y16" s="3213"/>
      <c r="Z16" s="1812"/>
      <c r="AA16" s="1809">
        <v>1</v>
      </c>
      <c r="AB16" s="1809">
        <v>1</v>
      </c>
      <c r="AC16" s="1809">
        <v>1</v>
      </c>
    </row>
    <row r="17" spans="1:29" ht="71.25">
      <c r="A17" s="427"/>
      <c r="B17" s="450" t="s">
        <v>2654</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13"/>
      <c r="Q17" s="1808" t="str">
        <f>B17</f>
        <v>商业繁华度</v>
      </c>
      <c r="R17" s="773" t="s">
        <v>17</v>
      </c>
      <c r="S17" s="774">
        <f>F17</f>
        <v>100</v>
      </c>
      <c r="T17" s="773" t="s">
        <v>17</v>
      </c>
      <c r="U17" s="774">
        <f>H17</f>
        <v>100</v>
      </c>
      <c r="V17" s="773" t="s">
        <v>17</v>
      </c>
      <c r="W17" s="774">
        <f>J17</f>
        <v>100</v>
      </c>
      <c r="X17" s="1811"/>
      <c r="Y17" s="3213"/>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1"/>
      <c r="L18" s="1138"/>
      <c r="M18" s="1129"/>
      <c r="N18" s="1129"/>
      <c r="O18" s="1137"/>
      <c r="P18" s="3213"/>
      <c r="Q18" s="1808"/>
      <c r="R18" s="773"/>
      <c r="S18" s="774"/>
      <c r="T18" s="773"/>
      <c r="U18" s="774"/>
      <c r="V18" s="773"/>
      <c r="W18" s="774"/>
      <c r="X18" s="1811"/>
      <c r="Y18" s="3213"/>
      <c r="Z18" s="1812"/>
      <c r="AA18" s="1809">
        <v>1</v>
      </c>
      <c r="AB18" s="1809">
        <v>1</v>
      </c>
      <c r="AC18" s="1809">
        <v>1</v>
      </c>
    </row>
    <row r="19" spans="1:29" ht="57">
      <c r="A19" s="427"/>
      <c r="B19" s="450" t="s">
        <v>2688</v>
      </c>
      <c r="C19" s="2662" t="str">
        <f>估价对象房地状况!C17</f>
        <v>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3"/>
      <c r="Q19" s="1808" t="str">
        <f>B19</f>
        <v>办公集聚程度</v>
      </c>
      <c r="R19" s="773" t="s">
        <v>17</v>
      </c>
      <c r="S19" s="774">
        <f>F19</f>
        <v>100</v>
      </c>
      <c r="T19" s="773" t="s">
        <v>17</v>
      </c>
      <c r="U19" s="774">
        <f>H19</f>
        <v>100</v>
      </c>
      <c r="V19" s="773" t="s">
        <v>17</v>
      </c>
      <c r="W19" s="774">
        <f>J19</f>
        <v>100</v>
      </c>
      <c r="X19" s="1811"/>
      <c r="Y19" s="3213"/>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1"/>
      <c r="L20" s="1138"/>
      <c r="M20" s="1129"/>
      <c r="N20" s="1129"/>
      <c r="O20" s="1137"/>
      <c r="P20" s="3213"/>
      <c r="Q20" s="1808"/>
      <c r="R20" s="773"/>
      <c r="S20" s="774"/>
      <c r="T20" s="773"/>
      <c r="U20" s="774"/>
      <c r="V20" s="773"/>
      <c r="W20" s="774"/>
      <c r="X20" s="1811"/>
      <c r="Y20" s="3213"/>
      <c r="Z20" s="1812"/>
      <c r="AA20" s="1809">
        <v>1</v>
      </c>
      <c r="AB20" s="1809">
        <v>1</v>
      </c>
      <c r="AC20" s="1809">
        <v>1</v>
      </c>
    </row>
    <row r="21" spans="1:29" ht="71.25">
      <c r="A21" s="427"/>
      <c r="B21" s="450" t="s">
        <v>2710</v>
      </c>
      <c r="C21" s="2605" t="str">
        <f>估价对象房地状况!C18</f>
        <v>估价对象周边道路通达、公共交通便捷、停车便捷，综合评价交通便捷度较好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13"/>
      <c r="Q21" s="1808" t="str">
        <f>B21</f>
        <v>交通便捷度</v>
      </c>
      <c r="R21" s="773" t="s">
        <v>17</v>
      </c>
      <c r="S21" s="774">
        <f>F21</f>
        <v>100</v>
      </c>
      <c r="T21" s="773" t="s">
        <v>17</v>
      </c>
      <c r="U21" s="774">
        <f>H21</f>
        <v>100</v>
      </c>
      <c r="V21" s="773" t="s">
        <v>17</v>
      </c>
      <c r="W21" s="774">
        <f>J21</f>
        <v>100</v>
      </c>
      <c r="X21" s="1811"/>
      <c r="Y21" s="3213"/>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1"/>
      <c r="L22" s="1138"/>
      <c r="M22" s="1129"/>
      <c r="N22" s="1129"/>
      <c r="O22" s="1137"/>
      <c r="P22" s="3213"/>
      <c r="Q22" s="1808"/>
      <c r="R22" s="773"/>
      <c r="S22" s="774"/>
      <c r="T22" s="773"/>
      <c r="U22" s="774"/>
      <c r="V22" s="773"/>
      <c r="W22" s="774"/>
      <c r="X22" s="1811"/>
      <c r="Y22" s="3213"/>
      <c r="Z22" s="1812"/>
      <c r="AA22" s="1809">
        <v>1</v>
      </c>
      <c r="AB22" s="1809">
        <v>1</v>
      </c>
      <c r="AC22" s="1809">
        <v>1</v>
      </c>
    </row>
    <row r="23" spans="1:29" ht="15">
      <c r="A23" s="403"/>
      <c r="B23" s="450" t="s">
        <v>2749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13"/>
      <c r="Q23" s="1808" t="str">
        <f t="shared" ref="Q23:Q37" si="8">B23</f>
        <v>区域土地利用方向</v>
      </c>
      <c r="R23" s="773" t="s">
        <v>17</v>
      </c>
      <c r="S23" s="774">
        <f>F23</f>
        <v>100</v>
      </c>
      <c r="T23" s="773" t="s">
        <v>17</v>
      </c>
      <c r="U23" s="774">
        <f>H23</f>
        <v>100</v>
      </c>
      <c r="V23" s="773" t="s">
        <v>17</v>
      </c>
      <c r="W23" s="774">
        <f>J23</f>
        <v>100</v>
      </c>
      <c r="X23" s="1811"/>
      <c r="Y23" s="3213"/>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07"/>
      <c r="L24" s="1138"/>
      <c r="M24" s="1129"/>
      <c r="N24" s="1129"/>
      <c r="O24" s="1137"/>
      <c r="P24" s="3213"/>
      <c r="Q24" s="1808"/>
      <c r="R24" s="773"/>
      <c r="S24" s="774"/>
      <c r="T24" s="773"/>
      <c r="U24" s="774"/>
      <c r="V24" s="773"/>
      <c r="W24" s="774"/>
      <c r="X24" s="1811"/>
      <c r="Y24" s="3213"/>
      <c r="Z24" s="1812"/>
      <c r="AA24" s="1809"/>
      <c r="AB24" s="1809"/>
      <c r="AC24" s="1809"/>
    </row>
    <row r="25" spans="1:29" ht="57">
      <c r="A25" s="403"/>
      <c r="B25" s="1382" t="s">
        <v>2750</v>
      </c>
      <c r="C25" s="2662" t="str">
        <f>估价对象房地状况!C20</f>
        <v>区域自然环境较好；人文环境一般；综合评价环境状况较好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13"/>
      <c r="Q25" s="1808" t="str">
        <f t="shared" si="8"/>
        <v>自然及人文环境状况</v>
      </c>
      <c r="R25" s="773" t="s">
        <v>17</v>
      </c>
      <c r="S25" s="774">
        <f>F25</f>
        <v>100</v>
      </c>
      <c r="T25" s="773" t="s">
        <v>17</v>
      </c>
      <c r="U25" s="774">
        <f>H25</f>
        <v>100</v>
      </c>
      <c r="V25" s="773" t="s">
        <v>17</v>
      </c>
      <c r="W25" s="774">
        <f>J25</f>
        <v>100</v>
      </c>
      <c r="X25" s="1811"/>
      <c r="Y25" s="3213"/>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1"/>
      <c r="L26" s="1138"/>
      <c r="M26" s="1129"/>
      <c r="N26" s="1129"/>
      <c r="O26" s="1137"/>
      <c r="P26" s="3213"/>
      <c r="Q26" s="1808"/>
      <c r="R26" s="773"/>
      <c r="S26" s="774"/>
      <c r="T26" s="773"/>
      <c r="U26" s="774"/>
      <c r="V26" s="773"/>
      <c r="W26" s="774"/>
      <c r="X26" s="1811"/>
      <c r="Y26" s="3213"/>
      <c r="Z26" s="1812"/>
      <c r="AA26" s="1809">
        <v>1</v>
      </c>
      <c r="AB26" s="1809">
        <v>1</v>
      </c>
      <c r="AC26" s="1809">
        <v>1</v>
      </c>
    </row>
    <row r="27" spans="1:29" s="116" customFormat="1" ht="42.75">
      <c r="A27" s="648"/>
      <c r="B27" s="1382" t="s">
        <v>2655</v>
      </c>
      <c r="C27" s="2605" t="str">
        <f>估价对象房地状况!C21</f>
        <v>估价对象所在区域公共配套设施较齐备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13"/>
      <c r="Q27" s="1793" t="str">
        <f t="shared" si="8"/>
        <v>公共配套设施</v>
      </c>
      <c r="R27" s="769" t="s">
        <v>17</v>
      </c>
      <c r="S27" s="770">
        <f>F27</f>
        <v>100</v>
      </c>
      <c r="T27" s="769" t="s">
        <v>17</v>
      </c>
      <c r="U27" s="770">
        <f>H27</f>
        <v>100</v>
      </c>
      <c r="V27" s="769" t="s">
        <v>17</v>
      </c>
      <c r="W27" s="770">
        <f>J27</f>
        <v>100</v>
      </c>
      <c r="X27" s="771"/>
      <c r="Y27" s="3213"/>
      <c r="Z27" s="54" t="str">
        <f>Q27</f>
        <v>公共配套设施</v>
      </c>
      <c r="AA27" s="1809">
        <f>D27/F27</f>
        <v>1</v>
      </c>
      <c r="AB27" s="1809">
        <f>D27/H27</f>
        <v>1</v>
      </c>
      <c r="AC27" s="1809">
        <f>D27/J27</f>
        <v>1</v>
      </c>
    </row>
    <row r="28" spans="1:29" s="116" customFormat="1" ht="15">
      <c r="A28" s="648"/>
      <c r="B28" s="455"/>
      <c r="C28" s="2697"/>
      <c r="D28" s="447"/>
      <c r="E28" s="2609"/>
      <c r="F28" s="447"/>
      <c r="G28" s="2609"/>
      <c r="H28" s="447"/>
      <c r="I28" s="446"/>
      <c r="J28" s="447"/>
      <c r="K28" s="671"/>
      <c r="L28" s="1130"/>
      <c r="M28" s="1131"/>
      <c r="N28" s="1131"/>
      <c r="O28" s="1132"/>
      <c r="P28" s="3213"/>
      <c r="Q28" s="1793"/>
      <c r="R28" s="769"/>
      <c r="S28" s="770"/>
      <c r="T28" s="769"/>
      <c r="U28" s="770"/>
      <c r="V28" s="769"/>
      <c r="W28" s="770"/>
      <c r="X28" s="771"/>
      <c r="Y28" s="3213"/>
      <c r="Z28" s="54"/>
      <c r="AA28" s="1809">
        <v>1</v>
      </c>
      <c r="AB28" s="1809">
        <v>1</v>
      </c>
      <c r="AC28" s="1809">
        <v>1</v>
      </c>
    </row>
    <row r="29" spans="1:29" s="116" customFormat="1" ht="42.75">
      <c r="A29" s="648"/>
      <c r="B29" s="1382" t="s">
        <v>2656</v>
      </c>
      <c r="C29" s="2605"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13"/>
      <c r="Q29" s="1793" t="str">
        <f t="shared" ref="Q29" si="9">B29</f>
        <v>基础设施水平</v>
      </c>
      <c r="R29" s="769" t="s">
        <v>17</v>
      </c>
      <c r="S29" s="770">
        <f>F29</f>
        <v>100</v>
      </c>
      <c r="T29" s="769" t="s">
        <v>17</v>
      </c>
      <c r="U29" s="770">
        <f>H29</f>
        <v>100</v>
      </c>
      <c r="V29" s="769" t="s">
        <v>17</v>
      </c>
      <c r="W29" s="770">
        <f>J29</f>
        <v>100</v>
      </c>
      <c r="X29" s="771"/>
      <c r="Y29" s="3213"/>
      <c r="Z29" s="54" t="str">
        <f>Q29</f>
        <v>基础设施水平</v>
      </c>
      <c r="AA29" s="1809">
        <f>D29/F29</f>
        <v>1</v>
      </c>
      <c r="AB29" s="1809">
        <f>D29/H29</f>
        <v>1</v>
      </c>
      <c r="AC29" s="1809">
        <f>D29/J29</f>
        <v>1</v>
      </c>
    </row>
    <row r="30" spans="1:29" s="116" customFormat="1" ht="15">
      <c r="A30" s="648"/>
      <c r="B30" s="455"/>
      <c r="C30" s="2697"/>
      <c r="D30" s="447"/>
      <c r="E30" s="2698"/>
      <c r="F30" s="447"/>
      <c r="G30" s="2698"/>
      <c r="H30" s="447"/>
      <c r="I30" s="2698"/>
      <c r="J30" s="447"/>
      <c r="K30" s="671"/>
      <c r="L30" s="1130"/>
      <c r="M30" s="1131"/>
      <c r="N30" s="1131"/>
      <c r="O30" s="1132"/>
      <c r="P30" s="3213"/>
      <c r="Q30" s="1793"/>
      <c r="R30" s="769"/>
      <c r="S30" s="770"/>
      <c r="T30" s="769"/>
      <c r="U30" s="770"/>
      <c r="V30" s="769"/>
      <c r="W30" s="770"/>
      <c r="X30" s="771"/>
      <c r="Y30" s="3213"/>
      <c r="Z30" s="54"/>
      <c r="AA30" s="1809">
        <v>1</v>
      </c>
      <c r="AB30" s="1809">
        <v>1</v>
      </c>
      <c r="AC30" s="1809">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13"/>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3"/>
      <c r="Z31" s="1812" t="str">
        <f t="shared" ref="Z31:Z45" si="13">Q31</f>
        <v>临街状况</v>
      </c>
      <c r="AA31" s="1809">
        <f t="shared" si="3"/>
        <v>1</v>
      </c>
      <c r="AB31" s="1809">
        <f t="shared" si="4"/>
        <v>1</v>
      </c>
      <c r="AC31" s="1809">
        <f t="shared" si="5"/>
        <v>1</v>
      </c>
    </row>
    <row r="32" spans="1:29" ht="27">
      <c r="A32" s="427"/>
      <c r="B32" s="1382"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3"/>
      <c r="Q32" s="1808" t="str">
        <f t="shared" si="8"/>
        <v>毗邻道路的类型与等级</v>
      </c>
      <c r="R32" s="773" t="s">
        <v>17</v>
      </c>
      <c r="S32" s="774">
        <f t="shared" si="10"/>
        <v>100</v>
      </c>
      <c r="T32" s="773" t="s">
        <v>17</v>
      </c>
      <c r="U32" s="774">
        <f t="shared" si="11"/>
        <v>100</v>
      </c>
      <c r="V32" s="773" t="s">
        <v>17</v>
      </c>
      <c r="W32" s="774">
        <f t="shared" si="12"/>
        <v>100</v>
      </c>
      <c r="X32" s="1811"/>
      <c r="Y32" s="3213"/>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13"/>
      <c r="Q33" s="1808"/>
      <c r="R33" s="773"/>
      <c r="S33" s="774"/>
      <c r="T33" s="773"/>
      <c r="U33" s="774"/>
      <c r="V33" s="773"/>
      <c r="W33" s="774"/>
      <c r="X33" s="1811"/>
      <c r="Y33" s="3213"/>
      <c r="Z33" s="1812"/>
      <c r="AA33" s="1809">
        <v>1</v>
      </c>
      <c r="AB33" s="1809">
        <v>1</v>
      </c>
      <c r="AC33" s="1809">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3"/>
      <c r="Q34" s="1808" t="str">
        <f t="shared" si="8"/>
        <v>土地级别</v>
      </c>
      <c r="R34" s="773" t="s">
        <v>17</v>
      </c>
      <c r="S34" s="774">
        <f t="shared" si="10"/>
        <v>100</v>
      </c>
      <c r="T34" s="773" t="s">
        <v>17</v>
      </c>
      <c r="U34" s="774">
        <f t="shared" si="11"/>
        <v>100</v>
      </c>
      <c r="V34" s="773" t="s">
        <v>17</v>
      </c>
      <c r="W34" s="774">
        <f t="shared" si="12"/>
        <v>100</v>
      </c>
      <c r="X34" s="1811"/>
      <c r="Y34" s="3213"/>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3"/>
      <c r="Q35" s="1808">
        <f t="shared" si="8"/>
        <v>111</v>
      </c>
      <c r="R35" s="773" t="s">
        <v>17</v>
      </c>
      <c r="S35" s="774">
        <f t="shared" si="10"/>
        <v>100</v>
      </c>
      <c r="T35" s="773" t="s">
        <v>17</v>
      </c>
      <c r="U35" s="774">
        <f t="shared" si="11"/>
        <v>100</v>
      </c>
      <c r="V35" s="773" t="s">
        <v>17</v>
      </c>
      <c r="W35" s="774">
        <f t="shared" si="12"/>
        <v>100</v>
      </c>
      <c r="X35" s="1811"/>
      <c r="Y35" s="3213"/>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20" t="s">
        <v>2566</v>
      </c>
      <c r="Q36" s="1808">
        <f t="shared" si="8"/>
        <v>111</v>
      </c>
      <c r="R36" s="773" t="s">
        <v>17</v>
      </c>
      <c r="S36" s="774">
        <f t="shared" si="10"/>
        <v>100</v>
      </c>
      <c r="T36" s="773" t="s">
        <v>17</v>
      </c>
      <c r="U36" s="774">
        <f t="shared" si="11"/>
        <v>100</v>
      </c>
      <c r="V36" s="773" t="s">
        <v>17</v>
      </c>
      <c r="W36" s="774">
        <f t="shared" si="12"/>
        <v>100</v>
      </c>
      <c r="X36" s="1811"/>
      <c r="Y36" s="3217" t="s">
        <v>2566</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7"/>
      <c r="Q37" s="1808">
        <f t="shared" si="8"/>
        <v>111</v>
      </c>
      <c r="R37" s="776" t="s">
        <v>17</v>
      </c>
      <c r="S37" s="777">
        <f t="shared" si="10"/>
        <v>100</v>
      </c>
      <c r="T37" s="776" t="s">
        <v>17</v>
      </c>
      <c r="U37" s="777">
        <f t="shared" si="11"/>
        <v>100</v>
      </c>
      <c r="V37" s="776" t="s">
        <v>17</v>
      </c>
      <c r="W37" s="777">
        <f t="shared" si="12"/>
        <v>100</v>
      </c>
      <c r="X37" s="778"/>
      <c r="Y37" s="3217"/>
      <c r="Z37" s="779">
        <f t="shared" si="13"/>
        <v>111</v>
      </c>
      <c r="AA37" s="1809">
        <f t="shared" si="3"/>
        <v>1</v>
      </c>
      <c r="AB37" s="1809">
        <f t="shared" si="4"/>
        <v>1</v>
      </c>
      <c r="AC37" s="1809">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17"/>
      <c r="Q38" s="1808" t="str">
        <f>B38</f>
        <v>宗地面积</v>
      </c>
      <c r="R38" s="773" t="s">
        <v>17</v>
      </c>
      <c r="S38" s="774" t="e">
        <f t="shared" si="10"/>
        <v>#N/A</v>
      </c>
      <c r="T38" s="773" t="s">
        <v>17</v>
      </c>
      <c r="U38" s="774" t="e">
        <f t="shared" si="11"/>
        <v>#N/A</v>
      </c>
      <c r="V38" s="773" t="s">
        <v>17</v>
      </c>
      <c r="W38" s="774" t="e">
        <f t="shared" si="12"/>
        <v>#N/A</v>
      </c>
      <c r="X38" s="1811"/>
      <c r="Y38" s="3217"/>
      <c r="Z38" s="1812" t="str">
        <f t="shared" si="13"/>
        <v>宗地面积</v>
      </c>
      <c r="AA38" s="1809" t="e">
        <f t="shared" si="3"/>
        <v>#N/A</v>
      </c>
      <c r="AB38" s="1809" t="e">
        <f t="shared" si="4"/>
        <v>#N/A</v>
      </c>
      <c r="AC38" s="1809" t="e">
        <f t="shared" si="5"/>
        <v>#N/A</v>
      </c>
    </row>
    <row r="39" spans="1:29" ht="15">
      <c r="A39" s="471"/>
      <c r="B39" s="421" t="s">
        <v>2753</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17"/>
      <c r="Q39" s="1808" t="str">
        <f t="shared" ref="Q39:Q45" si="14">B39</f>
        <v>宗地形状</v>
      </c>
      <c r="R39" s="773" t="s">
        <v>17</v>
      </c>
      <c r="S39" s="774">
        <f t="shared" si="10"/>
        <v>100</v>
      </c>
      <c r="T39" s="773" t="s">
        <v>17</v>
      </c>
      <c r="U39" s="774">
        <f t="shared" si="11"/>
        <v>100</v>
      </c>
      <c r="V39" s="773" t="s">
        <v>17</v>
      </c>
      <c r="W39" s="774">
        <f t="shared" si="12"/>
        <v>100</v>
      </c>
      <c r="X39" s="1811"/>
      <c r="Y39" s="3217"/>
      <c r="Z39" s="1812" t="str">
        <f t="shared" si="13"/>
        <v>宗地形状</v>
      </c>
      <c r="AA39" s="1809">
        <f t="shared" si="3"/>
        <v>1</v>
      </c>
      <c r="AB39" s="1809">
        <f t="shared" si="4"/>
        <v>1</v>
      </c>
      <c r="AC39" s="1809">
        <f t="shared" si="5"/>
        <v>1</v>
      </c>
    </row>
    <row r="40" spans="1:29" ht="15">
      <c r="A40" s="471"/>
      <c r="B40" s="421" t="s">
        <v>2754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17"/>
      <c r="Q40" s="1808" t="str">
        <f t="shared" si="14"/>
        <v>临街宽度及深度</v>
      </c>
      <c r="R40" s="773" t="s">
        <v>17</v>
      </c>
      <c r="S40" s="774">
        <f t="shared" si="10"/>
        <v>100</v>
      </c>
      <c r="T40" s="773" t="s">
        <v>17</v>
      </c>
      <c r="U40" s="774">
        <f t="shared" si="11"/>
        <v>100</v>
      </c>
      <c r="V40" s="773" t="s">
        <v>17</v>
      </c>
      <c r="W40" s="774">
        <f t="shared" si="12"/>
        <v>100</v>
      </c>
      <c r="X40" s="1811"/>
      <c r="Y40" s="3217"/>
      <c r="Z40" s="1812" t="str">
        <f t="shared" si="13"/>
        <v>临街宽度及深度</v>
      </c>
      <c r="AA40" s="1809">
        <f t="shared" si="3"/>
        <v>1</v>
      </c>
      <c r="AB40" s="1809">
        <f t="shared" si="4"/>
        <v>1</v>
      </c>
      <c r="AC40" s="1809">
        <f t="shared" si="5"/>
        <v>1</v>
      </c>
    </row>
    <row r="41" spans="1:29" s="116" customFormat="1" ht="15">
      <c r="A41" s="472"/>
      <c r="B41" s="421" t="s">
        <v>2755</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217"/>
      <c r="Q41" s="1808" t="str">
        <f t="shared" si="14"/>
        <v>宗地开发程度</v>
      </c>
      <c r="R41" s="769" t="s">
        <v>17</v>
      </c>
      <c r="S41" s="770">
        <f t="shared" si="10"/>
        <v>100</v>
      </c>
      <c r="T41" s="769" t="s">
        <v>17</v>
      </c>
      <c r="U41" s="770">
        <f t="shared" si="11"/>
        <v>100</v>
      </c>
      <c r="V41" s="769" t="s">
        <v>17</v>
      </c>
      <c r="W41" s="770">
        <f t="shared" si="12"/>
        <v>100</v>
      </c>
      <c r="X41" s="771"/>
      <c r="Y41" s="3217"/>
      <c r="Z41" s="54" t="str">
        <f t="shared" si="13"/>
        <v>宗地开发程度</v>
      </c>
      <c r="AA41" s="772">
        <f t="shared" si="3"/>
        <v>1</v>
      </c>
      <c r="AB41" s="772">
        <f t="shared" si="4"/>
        <v>1</v>
      </c>
      <c r="AC41" s="772">
        <f t="shared" si="5"/>
        <v>1</v>
      </c>
    </row>
    <row r="42" spans="1:29" ht="15">
      <c r="A42" s="471"/>
      <c r="B42" s="421" t="s">
        <v>2756</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17" t="s">
        <v>2566</v>
      </c>
      <c r="Q42" s="1808" t="str">
        <f t="shared" si="14"/>
        <v>工程地质条件</v>
      </c>
      <c r="R42" s="773" t="s">
        <v>17</v>
      </c>
      <c r="S42" s="774">
        <f t="shared" si="10"/>
        <v>100</v>
      </c>
      <c r="T42" s="773" t="s">
        <v>17</v>
      </c>
      <c r="U42" s="774">
        <f t="shared" si="11"/>
        <v>100</v>
      </c>
      <c r="V42" s="773" t="s">
        <v>17</v>
      </c>
      <c r="W42" s="774">
        <f t="shared" si="12"/>
        <v>100</v>
      </c>
      <c r="X42" s="1811"/>
      <c r="Y42" s="3217" t="s">
        <v>2566</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7"/>
      <c r="Q43" s="1808">
        <f t="shared" si="14"/>
        <v>111</v>
      </c>
      <c r="R43" s="773" t="s">
        <v>17</v>
      </c>
      <c r="S43" s="774">
        <f t="shared" si="10"/>
        <v>100</v>
      </c>
      <c r="T43" s="773" t="s">
        <v>17</v>
      </c>
      <c r="U43" s="774">
        <f t="shared" si="11"/>
        <v>100</v>
      </c>
      <c r="V43" s="773" t="s">
        <v>17</v>
      </c>
      <c r="W43" s="774">
        <f t="shared" si="12"/>
        <v>100</v>
      </c>
      <c r="X43" s="1811"/>
      <c r="Y43" s="321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7"/>
      <c r="Q44" s="1808">
        <f t="shared" si="14"/>
        <v>111</v>
      </c>
      <c r="R44" s="773" t="s">
        <v>17</v>
      </c>
      <c r="S44" s="774">
        <f t="shared" si="10"/>
        <v>100</v>
      </c>
      <c r="T44" s="773" t="s">
        <v>17</v>
      </c>
      <c r="U44" s="774">
        <f t="shared" si="11"/>
        <v>100</v>
      </c>
      <c r="V44" s="773" t="s">
        <v>17</v>
      </c>
      <c r="W44" s="774">
        <f t="shared" si="12"/>
        <v>100</v>
      </c>
      <c r="X44" s="1811"/>
      <c r="Y44" s="3217"/>
      <c r="Z44" s="1812">
        <f t="shared" si="13"/>
        <v>111</v>
      </c>
      <c r="AA44" s="1809">
        <f t="shared" si="3"/>
        <v>1</v>
      </c>
      <c r="AB44" s="1809">
        <f t="shared" si="4"/>
        <v>1</v>
      </c>
      <c r="AC44" s="1809">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7"/>
      <c r="Q45" s="1808">
        <f t="shared" si="14"/>
        <v>111</v>
      </c>
      <c r="R45" s="776" t="s">
        <v>17</v>
      </c>
      <c r="S45" s="777">
        <f t="shared" si="10"/>
        <v>100</v>
      </c>
      <c r="T45" s="776" t="s">
        <v>17</v>
      </c>
      <c r="U45" s="777">
        <f t="shared" si="11"/>
        <v>100</v>
      </c>
      <c r="V45" s="776" t="s">
        <v>17</v>
      </c>
      <c r="W45" s="777">
        <f t="shared" si="12"/>
        <v>100</v>
      </c>
      <c r="X45" s="778"/>
      <c r="Y45" s="3217"/>
      <c r="Z45" s="779">
        <f t="shared" si="13"/>
        <v>111</v>
      </c>
      <c r="AA45" s="1809">
        <f t="shared" si="3"/>
        <v>1</v>
      </c>
      <c r="AB45" s="1809">
        <f t="shared" si="4"/>
        <v>1</v>
      </c>
      <c r="AC45" s="1809">
        <f t="shared" si="5"/>
        <v>1</v>
      </c>
    </row>
    <row r="46" spans="1:29" ht="15">
      <c r="A46" s="478" t="s">
        <v>2721</v>
      </c>
      <c r="B46" s="2701" t="s">
        <v>2757</v>
      </c>
      <c r="C46" s="681" t="s">
        <v>1</v>
      </c>
      <c r="D46" s="480"/>
      <c r="E46" s="481"/>
      <c r="F46" s="482"/>
      <c r="G46" s="483"/>
      <c r="H46" s="484"/>
      <c r="I46" s="481"/>
      <c r="J46" s="484"/>
      <c r="K46" s="782"/>
      <c r="L46" s="1141"/>
      <c r="M46" s="1142"/>
      <c r="N46" s="1129"/>
      <c r="O46" s="1142"/>
      <c r="P46" s="3205" t="str">
        <f>A46</f>
        <v>成交单价</v>
      </c>
      <c r="Q46" s="3205"/>
      <c r="R46" s="3239">
        <f>E46</f>
        <v>0</v>
      </c>
      <c r="S46" s="3239"/>
      <c r="T46" s="3239">
        <f>G46</f>
        <v>0</v>
      </c>
      <c r="U46" s="3239"/>
      <c r="V46" s="3239">
        <f>I46</f>
        <v>0</v>
      </c>
      <c r="W46" s="3239"/>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1"/>
      <c r="M47" s="1142"/>
      <c r="N47" s="1142"/>
      <c r="O47" s="1142"/>
      <c r="P47" s="3205" t="str">
        <f>A47</f>
        <v>比较价值（元/平方米）</v>
      </c>
      <c r="Q47" s="3205"/>
      <c r="R47" s="3321" t="e">
        <f>ROUND(PRODUCT(R46,AA7:AA45),0)</f>
        <v>#DIV/0!</v>
      </c>
      <c r="S47" s="3321"/>
      <c r="T47" s="3321" t="e">
        <f>ROUND(PRODUCT(T46,AB7:AB45),0)</f>
        <v>#DIV/0!</v>
      </c>
      <c r="U47" s="3321"/>
      <c r="V47" s="3321" t="e">
        <f>ROUND(PRODUCT(V46,AC7:AC45),0)</f>
        <v>#DIV/0!</v>
      </c>
      <c r="W47" s="332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1"/>
      <c r="M48" s="1142"/>
      <c r="N48" s="1142"/>
      <c r="O48" s="1142"/>
      <c r="P48" s="3307" t="str">
        <f>A48</f>
        <v>估价对象XX用房的比较价值（楼面单价，元/平方米）</v>
      </c>
      <c r="Q48" s="3308"/>
      <c r="R48" s="3322" t="e">
        <f>ROUND(AVERAGE(R47:V47),0)</f>
        <v>#DIV/0!</v>
      </c>
      <c r="S48" s="3322"/>
      <c r="T48" s="3322"/>
      <c r="U48" s="3322"/>
      <c r="V48" s="3322"/>
      <c r="W48" s="3322"/>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2759</v>
      </c>
      <c r="B55" s="684" t="s">
        <v>2760</v>
      </c>
      <c r="C55" s="2702" t="s">
        <v>2761</v>
      </c>
      <c r="D55" s="2703" t="s">
        <v>2762</v>
      </c>
      <c r="E55" s="685" t="s">
        <v>2763</v>
      </c>
      <c r="F55" s="1105" t="s">
        <v>2764</v>
      </c>
      <c r="G55" s="3222" t="s">
        <v>2765</v>
      </c>
      <c r="H55" s="3323"/>
      <c r="I55" s="143" t="s">
        <v>2766</v>
      </c>
      <c r="J55" s="2704">
        <f>项目基本情况!F35</f>
        <v>0</v>
      </c>
      <c r="K55" s="2705" t="s">
        <v>2767</v>
      </c>
      <c r="L55" s="1104"/>
      <c r="M55" s="1142"/>
      <c r="N55" s="1142"/>
      <c r="O55" s="1142"/>
    </row>
    <row r="56" spans="1:15" s="691" customFormat="1">
      <c r="A56" s="687" t="s">
        <v>2768</v>
      </c>
      <c r="B56" s="688" t="e">
        <f>C48</f>
        <v>#DIV/0!</v>
      </c>
      <c r="C56" s="689">
        <v>1</v>
      </c>
      <c r="D56" s="1161">
        <v>1</v>
      </c>
      <c r="E56" s="689">
        <f>'数据-汇总表'!E8+'数据-汇总表'!E9</f>
        <v>24052.409999999996</v>
      </c>
      <c r="F56" s="1101" t="e">
        <f t="shared" ref="F56:F65" si="15">ROUND(B56*E56/10000,0)</f>
        <v>#DIV/0!</v>
      </c>
      <c r="G56" s="3204"/>
      <c r="H56" s="3205"/>
      <c r="I56" s="1106">
        <v>1</v>
      </c>
      <c r="J56" s="1109">
        <v>1</v>
      </c>
      <c r="K56" s="1143"/>
      <c r="L56" s="939"/>
      <c r="M56" s="939"/>
      <c r="N56" s="939"/>
      <c r="O56" s="939"/>
    </row>
    <row r="57" spans="1:15" s="691" customFormat="1">
      <c r="A57" s="692" t="s">
        <v>2769</v>
      </c>
      <c r="B57" s="261" t="e">
        <f>ROUND($C$48*C57*D57,0)</f>
        <v>#DIV/0!</v>
      </c>
      <c r="C57" s="199">
        <f t="shared" ref="C57:C65" si="16">IF($C$55="北京市系数",I57,J57)</f>
        <v>0</v>
      </c>
      <c r="D57" s="1162">
        <v>0.25</v>
      </c>
      <c r="E57" s="693"/>
      <c r="F57" s="1101" t="e">
        <f t="shared" si="15"/>
        <v>#DIV/0!</v>
      </c>
      <c r="G57" s="3324" t="s">
        <v>2770</v>
      </c>
      <c r="H57" s="1102">
        <f>项目基本情况!B37</f>
        <v>0</v>
      </c>
      <c r="I57" s="1106">
        <f>SUMIF(修正!A45:A56,H57,修正!B45:B56)</f>
        <v>0</v>
      </c>
      <c r="J57" s="1110"/>
      <c r="K57" s="1142"/>
      <c r="L57" s="939"/>
      <c r="M57" s="939"/>
      <c r="N57" s="939"/>
      <c r="O57" s="939"/>
    </row>
    <row r="58" spans="1:15" s="691" customFormat="1">
      <c r="A58" s="692" t="s">
        <v>2771</v>
      </c>
      <c r="B58" s="261" t="e">
        <f t="shared" ref="B58:B65" si="17">ROUND($C$48*C58*D58,0)</f>
        <v>#DIV/0!</v>
      </c>
      <c r="C58" s="199">
        <f t="shared" si="16"/>
        <v>0</v>
      </c>
      <c r="D58" s="1162">
        <v>0.25</v>
      </c>
      <c r="E58" s="693"/>
      <c r="F58" s="1101" t="e">
        <f t="shared" si="15"/>
        <v>#DIV/0!</v>
      </c>
      <c r="G58" s="3324"/>
      <c r="H58" s="1102">
        <f>项目基本情况!B37</f>
        <v>0</v>
      </c>
      <c r="I58" s="1106">
        <f>SUMIF(修正!A45:A56,H58,修正!C45:C56)</f>
        <v>0</v>
      </c>
      <c r="J58" s="1110"/>
      <c r="K58" s="1143"/>
      <c r="L58" s="939"/>
      <c r="M58" s="939"/>
      <c r="N58" s="939"/>
      <c r="O58" s="939"/>
    </row>
    <row r="59" spans="1:15" s="691" customFormat="1">
      <c r="A59" s="692" t="s">
        <v>2772</v>
      </c>
      <c r="B59" s="261" t="e">
        <f t="shared" si="17"/>
        <v>#DIV/0!</v>
      </c>
      <c r="C59" s="199">
        <f t="shared" si="16"/>
        <v>0</v>
      </c>
      <c r="D59" s="1162">
        <v>0.25</v>
      </c>
      <c r="E59" s="693"/>
      <c r="F59" s="1101" t="e">
        <f t="shared" si="15"/>
        <v>#DIV/0!</v>
      </c>
      <c r="G59" s="3324"/>
      <c r="H59" s="1102">
        <f>项目基本情况!B37</f>
        <v>0</v>
      </c>
      <c r="I59" s="1106">
        <f>SUMIF(修正!A45:A56,H59,修正!D45:D56)</f>
        <v>0</v>
      </c>
      <c r="J59" s="1110"/>
      <c r="K59" s="1142"/>
      <c r="L59" s="939"/>
      <c r="M59" s="939"/>
      <c r="N59" s="939"/>
      <c r="O59" s="939"/>
    </row>
    <row r="60" spans="1:15" s="691" customFormat="1">
      <c r="A60" s="692" t="s">
        <v>2773</v>
      </c>
      <c r="B60" s="261" t="e">
        <f t="shared" si="17"/>
        <v>#DIV/0!</v>
      </c>
      <c r="C60" s="199">
        <f t="shared" si="16"/>
        <v>0</v>
      </c>
      <c r="D60" s="1162">
        <v>0.25</v>
      </c>
      <c r="E60" s="693"/>
      <c r="F60" s="1101" t="e">
        <f t="shared" si="15"/>
        <v>#DIV/0!</v>
      </c>
      <c r="G60" s="3324"/>
      <c r="H60" s="1102">
        <f>项目基本情况!B37</f>
        <v>0</v>
      </c>
      <c r="I60" s="1106">
        <f>SUMIF(修正!A45:A56,H60,修正!E45:E56)</f>
        <v>0</v>
      </c>
      <c r="J60" s="1110"/>
      <c r="K60" s="1143"/>
      <c r="L60" s="939"/>
      <c r="M60" s="939"/>
      <c r="N60" s="939"/>
      <c r="O60" s="939"/>
    </row>
    <row r="61" spans="1:15" s="691" customFormat="1">
      <c r="A61" s="692" t="s">
        <v>2774</v>
      </c>
      <c r="B61" s="261" t="e">
        <f t="shared" si="17"/>
        <v>#DIV/0!</v>
      </c>
      <c r="C61" s="199">
        <f t="shared" si="16"/>
        <v>0.25</v>
      </c>
      <c r="D61" s="1162">
        <v>0.25</v>
      </c>
      <c r="E61" s="260">
        <f>'数据-汇总表'!E11</f>
        <v>0</v>
      </c>
      <c r="F61" s="1101" t="e">
        <f t="shared" si="15"/>
        <v>#DIV/0!</v>
      </c>
      <c r="G61" s="2706" t="s">
        <v>2775</v>
      </c>
      <c r="H61" s="1102" t="str">
        <f>项目基本情况!C37</f>
        <v>五级</v>
      </c>
      <c r="I61" s="1106">
        <f>SUMIF(修正!A45:A56,H61,修正!F45:F56)</f>
        <v>0.25</v>
      </c>
      <c r="J61" s="1110"/>
      <c r="K61" s="1142"/>
      <c r="L61" s="939"/>
      <c r="M61" s="939"/>
      <c r="N61" s="939"/>
      <c r="O61" s="939"/>
    </row>
    <row r="62" spans="1:15" s="691" customFormat="1">
      <c r="A62" s="692" t="s">
        <v>2776</v>
      </c>
      <c r="B62" s="261" t="e">
        <f t="shared" si="17"/>
        <v>#DIV/0!</v>
      </c>
      <c r="C62" s="199">
        <f t="shared" si="16"/>
        <v>0.25</v>
      </c>
      <c r="D62" s="1162">
        <v>0.25</v>
      </c>
      <c r="E62" s="260">
        <f>'数据-汇总表'!E12</f>
        <v>6180.34</v>
      </c>
      <c r="F62" s="1101" t="e">
        <f t="shared" si="15"/>
        <v>#DIV/0!</v>
      </c>
      <c r="G62" s="1107" t="s">
        <v>2777</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1" customFormat="1">
      <c r="A63" s="692" t="s">
        <v>2778</v>
      </c>
      <c r="B63" s="261" t="e">
        <f t="shared" si="17"/>
        <v>#DIV/0!</v>
      </c>
      <c r="C63" s="199">
        <f t="shared" si="16"/>
        <v>0</v>
      </c>
      <c r="D63" s="1162">
        <v>0.25</v>
      </c>
      <c r="E63" s="260">
        <f>'数据-汇总表'!E13</f>
        <v>3774.75</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2780</v>
      </c>
      <c r="B64" s="261" t="e">
        <f t="shared" si="17"/>
        <v>#DIV/0!</v>
      </c>
      <c r="C64" s="199">
        <f t="shared" si="16"/>
        <v>0</v>
      </c>
      <c r="D64" s="1162">
        <v>0.25</v>
      </c>
      <c r="E64" s="260">
        <f>'数据-汇总表'!E14</f>
        <v>0</v>
      </c>
      <c r="F64" s="1101" t="e">
        <f t="shared" si="15"/>
        <v>#DIV/0!</v>
      </c>
      <c r="G64" s="2706" t="s">
        <v>2770</v>
      </c>
      <c r="H64" s="1102">
        <f>项目基本情况!B37</f>
        <v>0</v>
      </c>
      <c r="I64" s="1106">
        <f>SUMIF(修正!A45:A56,H64,修正!H45:H56)</f>
        <v>0</v>
      </c>
      <c r="J64" s="1110"/>
      <c r="K64" s="1143"/>
      <c r="L64" s="939"/>
      <c r="M64" s="939"/>
      <c r="N64" s="939"/>
      <c r="O64" s="939"/>
    </row>
    <row r="65" spans="1:17" s="691" customFormat="1" ht="15" thickBot="1">
      <c r="A65" s="692" t="s">
        <v>2781</v>
      </c>
      <c r="B65" s="261" t="e">
        <f t="shared" si="17"/>
        <v>#DIV/0!</v>
      </c>
      <c r="C65" s="199">
        <f t="shared" si="16"/>
        <v>0.2</v>
      </c>
      <c r="D65" s="1162">
        <v>0.25</v>
      </c>
      <c r="E65" s="260">
        <f>'数据-汇总表'!E15</f>
        <v>0</v>
      </c>
      <c r="F65" s="1101" t="e">
        <f t="shared" si="15"/>
        <v>#DIV/0!</v>
      </c>
      <c r="G65" s="2707" t="s">
        <v>2775</v>
      </c>
      <c r="H65" s="1112" t="str">
        <f>项目基本情况!C37</f>
        <v>五级</v>
      </c>
      <c r="I65" s="1108">
        <f>SUMIF(修正!A45:A56,H65,修正!H45:H56)</f>
        <v>0.2</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34007.5</v>
      </c>
      <c r="F66" s="696" t="e">
        <f>IF(B46="楼面地价",SUM(F56:F65),ROUND(C48*E66/10000,0))</f>
        <v>#DIV/0!</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2018-5-1</v>
      </c>
      <c r="D68" s="760">
        <f>EDATE(C68,-3)</f>
        <v>43132</v>
      </c>
      <c r="E68" s="760">
        <f>EDATE(D68,-3)</f>
        <v>43040</v>
      </c>
      <c r="F68" s="760">
        <f t="shared" ref="F68:O68" si="18">EDATE(E68,-3)</f>
        <v>42948</v>
      </c>
      <c r="G68" s="760">
        <f t="shared" si="18"/>
        <v>42856</v>
      </c>
      <c r="H68" s="760">
        <f t="shared" si="18"/>
        <v>42767</v>
      </c>
      <c r="I68" s="760">
        <f t="shared" si="18"/>
        <v>42675</v>
      </c>
      <c r="J68" s="760">
        <f t="shared" si="18"/>
        <v>42583</v>
      </c>
      <c r="K68" s="760">
        <f t="shared" si="18"/>
        <v>42491</v>
      </c>
      <c r="L68" s="760">
        <f t="shared" si="18"/>
        <v>42401</v>
      </c>
      <c r="M68" s="760">
        <f t="shared" si="18"/>
        <v>42309</v>
      </c>
      <c r="N68" s="760">
        <f t="shared" si="18"/>
        <v>42217</v>
      </c>
      <c r="O68" s="760">
        <f t="shared" si="18"/>
        <v>42125</v>
      </c>
    </row>
    <row r="69" spans="1:17" ht="21.75" thickBot="1">
      <c r="A69" s="762" t="s">
        <v>2675</v>
      </c>
      <c r="B69" s="758"/>
      <c r="C69" s="763"/>
      <c r="D69" s="763"/>
      <c r="E69" s="763"/>
      <c r="F69" s="764"/>
      <c r="G69" s="764"/>
      <c r="H69" s="763"/>
      <c r="I69" s="763"/>
      <c r="J69" s="1157"/>
      <c r="K69" s="1158"/>
      <c r="L69" s="1159"/>
      <c r="M69" s="1157"/>
      <c r="N69" s="1157"/>
      <c r="O69" s="1157"/>
      <c r="P69" s="502"/>
      <c r="Q69" s="503"/>
    </row>
    <row r="70" spans="1:17" s="507" customFormat="1" ht="15">
      <c r="A70" s="2708" t="s">
        <v>2783</v>
      </c>
      <c r="B70" s="1357"/>
      <c r="C70" s="1570" t="str">
        <f>YEAR(C68)&amp;"-"&amp;ROUNDUP(MONTH(C68)/3,0)</f>
        <v>2018-2</v>
      </c>
      <c r="D70" s="1570" t="str">
        <f>YEAR(D68)&amp;"-"&amp;ROUNDUP(MONTH(D68)/3,0)</f>
        <v>2018-1</v>
      </c>
      <c r="E70" s="1570" t="str">
        <f t="shared" ref="E70:O70" si="19">YEAR(E68)&amp;"-"&amp;ROUNDUP(MONTH(E68)/3,0)</f>
        <v>2017-4</v>
      </c>
      <c r="F70" s="1570" t="str">
        <f t="shared" si="19"/>
        <v>2017-3</v>
      </c>
      <c r="G70" s="1570" t="str">
        <f t="shared" si="19"/>
        <v>2017-2</v>
      </c>
      <c r="H70" s="1570" t="str">
        <f t="shared" si="19"/>
        <v>2017-1</v>
      </c>
      <c r="I70" s="1570" t="str">
        <f t="shared" si="19"/>
        <v>2016-4</v>
      </c>
      <c r="J70" s="1570" t="str">
        <f t="shared" si="19"/>
        <v>2016-3</v>
      </c>
      <c r="K70" s="1570" t="str">
        <f t="shared" si="19"/>
        <v>2016-2</v>
      </c>
      <c r="L70" s="1570" t="str">
        <f t="shared" si="19"/>
        <v>2016-1</v>
      </c>
      <c r="M70" s="1570" t="str">
        <f t="shared" si="19"/>
        <v>2015-4</v>
      </c>
      <c r="N70" s="1570" t="str">
        <f t="shared" si="19"/>
        <v>2015-3</v>
      </c>
      <c r="O70" s="1570" t="str">
        <f t="shared" si="19"/>
        <v>2015-2</v>
      </c>
      <c r="P70" s="506"/>
    </row>
    <row r="71" spans="1:17" s="116" customFormat="1" ht="30" customHeight="1">
      <c r="A71" s="2709"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5"/>
      <c r="N71" s="594"/>
      <c r="O71" s="1566"/>
      <c r="P71" s="503"/>
    </row>
    <row r="72" spans="1:17" s="116" customFormat="1" ht="15.75" thickBot="1">
      <c r="A72" s="514" t="s">
        <v>2586</v>
      </c>
      <c r="B72" s="515"/>
      <c r="C72" s="516"/>
      <c r="D72" s="517"/>
      <c r="E72" s="517"/>
      <c r="F72" s="517"/>
      <c r="G72" s="517"/>
      <c r="H72" s="517"/>
      <c r="I72" s="517"/>
      <c r="J72" s="517"/>
      <c r="K72" s="517"/>
      <c r="L72" s="517"/>
      <c r="M72" s="518"/>
      <c r="N72" s="517"/>
      <c r="O72" s="1160"/>
      <c r="P72" s="503"/>
      <c r="Q72" s="503"/>
    </row>
    <row r="73" spans="1:17" s="116" customFormat="1" ht="15">
      <c r="A73" s="520" t="s">
        <v>2551</v>
      </c>
      <c r="B73" s="509"/>
      <c r="C73" s="521" t="s">
        <v>2653</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2558</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c r="D80" s="548"/>
      <c r="E80" s="548"/>
      <c r="F80" s="548"/>
      <c r="G80" s="548"/>
      <c r="H80" s="548"/>
      <c r="I80" s="548"/>
      <c r="J80" s="548"/>
      <c r="K80" s="549"/>
      <c r="L80" s="550"/>
      <c r="M80" s="551"/>
      <c r="N80" s="1150"/>
      <c r="O80" s="1150"/>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2692</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2751</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c r="D117" s="594"/>
      <c r="E117" s="594"/>
      <c r="F117" s="594"/>
      <c r="G117" s="594"/>
      <c r="H117" s="594"/>
      <c r="I117" s="594"/>
      <c r="J117" s="595"/>
      <c r="K117" s="595"/>
      <c r="L117" s="596"/>
      <c r="M117" s="597"/>
      <c r="N117" s="1150"/>
      <c r="O117" s="1150"/>
      <c r="P117" s="44"/>
      <c r="Q117" s="503"/>
    </row>
    <row r="118" spans="1:17" ht="15.75" thickBot="1">
      <c r="A118" s="533"/>
      <c r="B118" s="542"/>
      <c r="C118" s="569"/>
      <c r="D118" s="590"/>
      <c r="E118" s="590"/>
      <c r="F118" s="590"/>
      <c r="G118" s="590"/>
      <c r="H118" s="590"/>
      <c r="I118" s="590"/>
      <c r="J118" s="590"/>
      <c r="K118" s="590"/>
      <c r="L118" s="590"/>
      <c r="M118" s="591"/>
      <c r="N118" s="1151"/>
      <c r="O118" s="1151"/>
      <c r="P118" s="44"/>
      <c r="Q118" s="503"/>
    </row>
    <row r="119" spans="1:17" ht="15" thickTop="1">
      <c r="A119" s="598"/>
      <c r="B119" s="537" t="s">
        <v>2793</v>
      </c>
      <c r="C119" s="582"/>
      <c r="D119" s="582"/>
      <c r="E119" s="582"/>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4"/>
      <c r="Q120" s="503"/>
    </row>
    <row r="121" spans="1:17" ht="15" thickTop="1">
      <c r="A121" s="598"/>
      <c r="B121" s="537" t="s">
        <v>2794</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2795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2796</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59"/>
      <c r="B4" s="3022" t="s">
        <v>1630</v>
      </c>
      <c r="C4" s="3022"/>
      <c r="D4" s="3022"/>
      <c r="E4" s="1959"/>
    </row>
    <row r="5" spans="1:5" ht="16.5" thickTop="1">
      <c r="A5" s="1957"/>
      <c r="B5" s="3020" t="s">
        <v>1622</v>
      </c>
      <c r="C5" s="1960" t="s">
        <v>1623</v>
      </c>
      <c r="D5" s="1038">
        <f ca="1">结果表仓储!H101</f>
        <v>19210</v>
      </c>
      <c r="E5" s="1957"/>
    </row>
    <row r="6" spans="1:5" ht="15.75">
      <c r="A6" s="1957"/>
      <c r="B6" s="3020"/>
      <c r="C6" s="1960" t="s">
        <v>1624</v>
      </c>
      <c r="D6" s="1038" t="str">
        <f ca="1">NUMBERSTRING(INT(D5*10000),2)&amp;"元整"</f>
        <v>壹亿玖仟贰佰壹拾万元整</v>
      </c>
      <c r="E6" s="1957"/>
    </row>
    <row r="7" spans="1:5" ht="15.75">
      <c r="A7" s="1957"/>
      <c r="B7" s="3025"/>
      <c r="C7" s="1961" t="s">
        <v>1625</v>
      </c>
      <c r="D7" s="1039">
        <f ca="1">结果表仓储!H102</f>
        <v>31082</v>
      </c>
      <c r="E7" s="1957"/>
    </row>
    <row r="8" spans="1:5" ht="15.75">
      <c r="A8" s="1957"/>
      <c r="B8" s="3026" t="str">
        <f>结果表仓储!E103</f>
        <v>2.估价师知悉的法定优先受偿款</v>
      </c>
      <c r="C8" s="1962" t="s">
        <v>1626</v>
      </c>
      <c r="D8" s="1039">
        <f>结果表仓储!H103</f>
        <v>0</v>
      </c>
      <c r="E8" s="1957"/>
    </row>
    <row r="9" spans="1:5" ht="15.75">
      <c r="A9" s="1957"/>
      <c r="B9" s="3028"/>
      <c r="C9" s="1960" t="s">
        <v>1624</v>
      </c>
      <c r="D9" s="1038" t="str">
        <f>NUMBERSTRING(INT(D8*10000),2)&amp;"元整"</f>
        <v>零元整</v>
      </c>
      <c r="E9" s="1957"/>
    </row>
    <row r="10" spans="1:5" ht="15">
      <c r="A10" s="1957"/>
      <c r="B10" s="1963" t="s">
        <v>1629</v>
      </c>
      <c r="C10" s="1964" t="s">
        <v>1627</v>
      </c>
      <c r="D10" s="1040">
        <f>结果表仓储!H104</f>
        <v>0</v>
      </c>
      <c r="E10" s="1957"/>
    </row>
    <row r="11" spans="1:5" ht="15">
      <c r="A11" s="1957"/>
      <c r="B11" s="1963" t="s">
        <v>1631</v>
      </c>
      <c r="C11" s="1964" t="s">
        <v>1632</v>
      </c>
      <c r="D11" s="1040">
        <f>结果表仓储!H105</f>
        <v>0</v>
      </c>
      <c r="E11" s="1957"/>
    </row>
    <row r="12" spans="1:5" ht="15">
      <c r="A12" s="1957"/>
      <c r="B12" s="1963" t="s">
        <v>1633</v>
      </c>
      <c r="C12" s="1964" t="s">
        <v>1632</v>
      </c>
      <c r="D12" s="1040">
        <f>结果表仓储!H106</f>
        <v>0</v>
      </c>
      <c r="E12" s="1957"/>
    </row>
    <row r="13" spans="1:5" ht="15.75">
      <c r="A13" s="1957"/>
      <c r="B13" s="3019" t="str">
        <f>结果表仓储!E107</f>
        <v>3.房地产抵押价值</v>
      </c>
      <c r="C13" s="1965" t="s">
        <v>1623</v>
      </c>
      <c r="D13" s="1041">
        <f ca="1">结果表仓储!H107</f>
        <v>19210</v>
      </c>
      <c r="E13" s="1957"/>
    </row>
    <row r="14" spans="1:5" ht="15.75">
      <c r="A14" s="1957"/>
      <c r="B14" s="3020"/>
      <c r="C14" s="1960" t="s">
        <v>1624</v>
      </c>
      <c r="D14" s="1038" t="str">
        <f ca="1">NUMBERSTRING(INT(D13*10000),2)&amp;"元整"</f>
        <v>壹亿玖仟贰佰壹拾万元整</v>
      </c>
      <c r="E14" s="1957"/>
    </row>
    <row r="15" spans="1:5" ht="15">
      <c r="A15" s="1957"/>
      <c r="B15" s="3025"/>
      <c r="C15" s="1961" t="s">
        <v>1634</v>
      </c>
      <c r="D15" s="1050">
        <f ca="1">结果表仓储!H108</f>
        <v>5649</v>
      </c>
      <c r="E15" s="1957"/>
    </row>
    <row r="16" spans="1:5" ht="15">
      <c r="A16" s="1957"/>
      <c r="B16" s="3026" t="str">
        <f>结果表仓储!E109</f>
        <v>——</v>
      </c>
      <c r="C16" s="1965" t="s">
        <v>1635</v>
      </c>
      <c r="D16" s="1966" t="str">
        <f>结果表仓储!H109</f>
        <v>——</v>
      </c>
      <c r="E16" s="1957"/>
    </row>
    <row r="17" spans="1:5" ht="15.75">
      <c r="A17" s="1957"/>
      <c r="B17" s="3027"/>
      <c r="C17" s="1960" t="s">
        <v>1636</v>
      </c>
      <c r="D17" s="1038" t="e">
        <f>NUMBERSTRING(INT(D16*10000),2)&amp;"元整"</f>
        <v>#VALUE!</v>
      </c>
      <c r="E17" s="1957"/>
    </row>
    <row r="18" spans="1:5" ht="15">
      <c r="A18" s="1957"/>
      <c r="B18" s="3028"/>
      <c r="C18" s="1961" t="s">
        <v>1625</v>
      </c>
      <c r="D18" s="1050" t="str">
        <f>结果表仓储!H110</f>
        <v>——</v>
      </c>
      <c r="E18" s="1957"/>
    </row>
    <row r="19" spans="1:5" ht="15.75">
      <c r="A19" s="1957"/>
      <c r="B19" s="3019" t="str">
        <f>结果表仓储!E111</f>
        <v>——</v>
      </c>
      <c r="C19" s="1965" t="s">
        <v>1623</v>
      </c>
      <c r="D19" s="1039" t="str">
        <f>结果表仓储!H111</f>
        <v>——</v>
      </c>
      <c r="E19" s="1957"/>
    </row>
    <row r="20" spans="1:5" ht="15.75">
      <c r="A20" s="1957"/>
      <c r="B20" s="3020"/>
      <c r="C20" s="1960" t="s">
        <v>1636</v>
      </c>
      <c r="D20" s="1038" t="e">
        <f>NUMBERSTRING(INT(D19*10000),2)&amp;"元整"</f>
        <v>#VALUE!</v>
      </c>
      <c r="E20" s="1957"/>
    </row>
    <row r="21" spans="1:5" ht="15.75" thickBot="1">
      <c r="A21" s="1957"/>
      <c r="B21" s="3021"/>
      <c r="C21" s="1967" t="s">
        <v>1634</v>
      </c>
      <c r="D21" s="1051" t="str">
        <f>结果表仓储!H112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2646</v>
      </c>
      <c r="B4" s="401"/>
      <c r="C4" s="3222" t="s">
        <v>2647</v>
      </c>
      <c r="D4" s="3223"/>
      <c r="E4" s="3224" t="s">
        <v>2648</v>
      </c>
      <c r="F4" s="3225"/>
      <c r="G4" s="3222" t="s">
        <v>2649</v>
      </c>
      <c r="H4" s="3223"/>
      <c r="I4" s="3222" t="s">
        <v>2650</v>
      </c>
      <c r="J4" s="3223"/>
      <c r="K4" s="609" t="s">
        <v>2651</v>
      </c>
      <c r="L4" s="1128"/>
      <c r="M4" s="1129"/>
      <c r="N4" s="1129"/>
      <c r="O4" s="1129"/>
      <c r="P4" s="3311" t="s">
        <v>2652</v>
      </c>
      <c r="Q4" s="3312"/>
      <c r="R4" s="3315" t="s">
        <v>2648</v>
      </c>
      <c r="S4" s="3316"/>
      <c r="T4" s="3315" t="s">
        <v>2649</v>
      </c>
      <c r="U4" s="3316"/>
      <c r="V4" s="3239" t="s">
        <v>2650</v>
      </c>
      <c r="W4" s="3239"/>
      <c r="X4" s="1811"/>
      <c r="Y4" s="3315" t="s">
        <v>2652</v>
      </c>
      <c r="Z4" s="3316"/>
      <c r="AA4" s="3310" t="s">
        <v>2648</v>
      </c>
      <c r="AB4" s="3251" t="s">
        <v>2649</v>
      </c>
      <c r="AC4" s="3310" t="s">
        <v>2650</v>
      </c>
    </row>
    <row r="5" spans="1:29" ht="15">
      <c r="A5" s="403"/>
      <c r="B5" s="404"/>
      <c r="C5" s="3248" t="s">
        <v>2543</v>
      </c>
      <c r="D5" s="3249"/>
      <c r="E5" s="3319" t="s">
        <v>2544</v>
      </c>
      <c r="F5" s="3243"/>
      <c r="G5" s="3248" t="s">
        <v>2545</v>
      </c>
      <c r="H5" s="3249"/>
      <c r="I5" s="3248" t="s">
        <v>2546</v>
      </c>
      <c r="J5" s="3249"/>
      <c r="K5" s="609"/>
      <c r="L5" s="1128"/>
      <c r="M5" s="1129"/>
      <c r="N5" s="1129"/>
      <c r="O5" s="1129"/>
      <c r="P5" s="3313"/>
      <c r="Q5" s="3229"/>
      <c r="R5" s="3234"/>
      <c r="S5" s="3235"/>
      <c r="T5" s="3234"/>
      <c r="U5" s="3235"/>
      <c r="V5" s="3239"/>
      <c r="W5" s="3239"/>
      <c r="X5" s="1811"/>
      <c r="Y5" s="3234"/>
      <c r="Z5" s="3235"/>
      <c r="AA5" s="3251"/>
      <c r="AB5" s="3251"/>
      <c r="AC5" s="3251"/>
    </row>
    <row r="6" spans="1:29" ht="15.75" thickBot="1">
      <c r="A6" s="405"/>
      <c r="B6" s="406"/>
      <c r="C6" s="3325" t="s">
        <v>2798</v>
      </c>
      <c r="D6" s="3326"/>
      <c r="E6" s="3327" t="s">
        <v>2798</v>
      </c>
      <c r="F6" s="3328"/>
      <c r="G6" s="3325" t="s">
        <v>2798</v>
      </c>
      <c r="H6" s="3326"/>
      <c r="I6" s="3325" t="s">
        <v>2798</v>
      </c>
      <c r="J6" s="3326"/>
      <c r="K6" s="609" t="s">
        <v>2548</v>
      </c>
      <c r="L6" s="1128"/>
      <c r="M6" s="1129"/>
      <c r="N6" s="1129"/>
      <c r="O6" s="1129"/>
      <c r="P6" s="3314"/>
      <c r="Q6" s="3231"/>
      <c r="R6" s="3234"/>
      <c r="S6" s="3235"/>
      <c r="T6" s="3236"/>
      <c r="U6" s="3237"/>
      <c r="V6" s="3239"/>
      <c r="W6" s="3239"/>
      <c r="X6" s="1811"/>
      <c r="Y6" s="3236"/>
      <c r="Z6" s="3237"/>
      <c r="AA6" s="3252"/>
      <c r="AB6" s="3252"/>
      <c r="AC6" s="3252"/>
    </row>
    <row r="7" spans="1:29" s="116" customFormat="1" ht="15.75" thickBot="1">
      <c r="A7" s="407" t="s">
        <v>2549</v>
      </c>
      <c r="B7" s="408"/>
      <c r="C7" s="409">
        <f>'数据-取费表'!B2</f>
        <v>43236</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246" t="s">
        <v>2550</v>
      </c>
      <c r="Q7" s="3247"/>
      <c r="R7" s="769" t="s">
        <v>17</v>
      </c>
      <c r="S7" s="770">
        <f t="shared" ref="S7:S15" si="0">F7</f>
        <v>0</v>
      </c>
      <c r="T7" s="769" t="s">
        <v>17</v>
      </c>
      <c r="U7" s="770">
        <f t="shared" ref="U7:U15" si="1">H7</f>
        <v>0</v>
      </c>
      <c r="V7" s="769" t="s">
        <v>17</v>
      </c>
      <c r="W7" s="770">
        <f t="shared" ref="W7:W15" si="2">J7</f>
        <v>0</v>
      </c>
      <c r="X7" s="771"/>
      <c r="Y7" s="3246" t="s">
        <v>2550</v>
      </c>
      <c r="Z7" s="3245"/>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46" t="s">
        <v>2553</v>
      </c>
      <c r="Q8" s="3245"/>
      <c r="R8" s="769" t="s">
        <v>17</v>
      </c>
      <c r="S8" s="770">
        <f t="shared" si="0"/>
        <v>0</v>
      </c>
      <c r="T8" s="769" t="s">
        <v>17</v>
      </c>
      <c r="U8" s="770">
        <f t="shared" si="1"/>
        <v>0</v>
      </c>
      <c r="V8" s="769" t="s">
        <v>17</v>
      </c>
      <c r="W8" s="770">
        <f t="shared" si="2"/>
        <v>0</v>
      </c>
      <c r="X8" s="771"/>
      <c r="Y8" s="3246" t="s">
        <v>2553</v>
      </c>
      <c r="Z8" s="3245"/>
      <c r="AA8" s="772" t="e">
        <f t="shared" ref="AA8:AA40" si="3">D8/F8</f>
        <v>#DIV/0!</v>
      </c>
      <c r="AB8" s="772" t="e">
        <f t="shared" ref="AB8:AB40" si="4">D8/H8</f>
        <v>#DIV/0!</v>
      </c>
      <c r="AC8" s="772" t="e">
        <f t="shared" ref="AC8:AC40" si="5">D8/J8</f>
        <v>#DIV/0!</v>
      </c>
    </row>
    <row r="9" spans="1:29" s="116" customFormat="1">
      <c r="A9" s="414" t="s">
        <v>2554</v>
      </c>
      <c r="B9" s="70" t="s">
        <v>2555</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05" t="s">
        <v>2556</v>
      </c>
      <c r="Q9" s="1793" t="str">
        <f t="shared" ref="Q9:Q15" si="6">B9</f>
        <v>用途</v>
      </c>
      <c r="R9" s="769" t="s">
        <v>17</v>
      </c>
      <c r="S9" s="770">
        <f t="shared" si="0"/>
        <v>100</v>
      </c>
      <c r="T9" s="769" t="s">
        <v>17</v>
      </c>
      <c r="U9" s="770">
        <f t="shared" si="1"/>
        <v>100</v>
      </c>
      <c r="V9" s="769" t="s">
        <v>17</v>
      </c>
      <c r="W9" s="770">
        <f t="shared" si="2"/>
        <v>100</v>
      </c>
      <c r="X9" s="771"/>
      <c r="Y9" s="3062"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05"/>
      <c r="Q10" s="1793" t="str">
        <f t="shared" si="6"/>
        <v>土地使用年限（年）</v>
      </c>
      <c r="R10" s="769" t="s">
        <v>17</v>
      </c>
      <c r="S10" s="770">
        <f t="shared" si="0"/>
        <v>105</v>
      </c>
      <c r="T10" s="769" t="s">
        <v>17</v>
      </c>
      <c r="U10" s="770">
        <f t="shared" si="1"/>
        <v>105</v>
      </c>
      <c r="V10" s="769" t="s">
        <v>17</v>
      </c>
      <c r="W10" s="770">
        <f t="shared" si="2"/>
        <v>105</v>
      </c>
      <c r="X10" s="771"/>
      <c r="Y10" s="3062"/>
      <c r="Z10" s="54" t="str">
        <f t="shared" si="7"/>
        <v>土地使用年限（年）</v>
      </c>
      <c r="AA10" s="772">
        <f t="shared" si="3"/>
        <v>0.95238095238095233</v>
      </c>
      <c r="AB10" s="772">
        <f t="shared" si="4"/>
        <v>0.95238095238095233</v>
      </c>
      <c r="AC10" s="772">
        <f t="shared" si="5"/>
        <v>0.95238095238095233</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05"/>
      <c r="Q11" s="1793" t="str">
        <f t="shared" si="6"/>
        <v>容积率</v>
      </c>
      <c r="R11" s="769" t="s">
        <v>17</v>
      </c>
      <c r="S11" s="770" t="e">
        <f t="shared" si="0"/>
        <v>#N/A</v>
      </c>
      <c r="T11" s="769" t="s">
        <v>17</v>
      </c>
      <c r="U11" s="770" t="e">
        <f t="shared" si="1"/>
        <v>#N/A</v>
      </c>
      <c r="V11" s="769" t="s">
        <v>17</v>
      </c>
      <c r="W11" s="770" t="e">
        <f t="shared" si="2"/>
        <v>#N/A</v>
      </c>
      <c r="X11" s="771"/>
      <c r="Y11" s="3062"/>
      <c r="Z11" s="54"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05"/>
      <c r="Q12" s="1793">
        <f t="shared" si="6"/>
        <v>111</v>
      </c>
      <c r="R12" s="769" t="s">
        <v>17</v>
      </c>
      <c r="S12" s="770">
        <f t="shared" si="0"/>
        <v>100</v>
      </c>
      <c r="T12" s="769" t="s">
        <v>17</v>
      </c>
      <c r="U12" s="770">
        <f t="shared" si="1"/>
        <v>100</v>
      </c>
      <c r="V12" s="769" t="s">
        <v>17</v>
      </c>
      <c r="W12" s="770">
        <f t="shared" si="2"/>
        <v>100</v>
      </c>
      <c r="X12" s="771"/>
      <c r="Y12" s="3062"/>
      <c r="Z12" s="54">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05"/>
      <c r="Q13" s="1793">
        <f t="shared" si="6"/>
        <v>111</v>
      </c>
      <c r="R13" s="769" t="s">
        <v>17</v>
      </c>
      <c r="S13" s="770">
        <f t="shared" si="0"/>
        <v>100</v>
      </c>
      <c r="T13" s="769" t="s">
        <v>17</v>
      </c>
      <c r="U13" s="770">
        <f t="shared" si="1"/>
        <v>100</v>
      </c>
      <c r="V13" s="769" t="s">
        <v>17</v>
      </c>
      <c r="W13" s="770">
        <f t="shared" si="2"/>
        <v>100</v>
      </c>
      <c r="X13" s="771"/>
      <c r="Y13" s="3062"/>
      <c r="Z13" s="54">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05"/>
      <c r="Q14" s="1793">
        <f t="shared" si="6"/>
        <v>111</v>
      </c>
      <c r="R14" s="769" t="s">
        <v>17</v>
      </c>
      <c r="S14" s="770">
        <f t="shared" si="0"/>
        <v>100</v>
      </c>
      <c r="T14" s="769" t="s">
        <v>17</v>
      </c>
      <c r="U14" s="770">
        <f t="shared" si="1"/>
        <v>100</v>
      </c>
      <c r="V14" s="769" t="s">
        <v>17</v>
      </c>
      <c r="W14" s="770">
        <f t="shared" si="2"/>
        <v>100</v>
      </c>
      <c r="X14" s="771"/>
      <c r="Y14" s="3062"/>
      <c r="Z14" s="54">
        <f t="shared" si="7"/>
        <v>111</v>
      </c>
      <c r="AA14" s="772">
        <f t="shared" si="3"/>
        <v>1</v>
      </c>
      <c r="AB14" s="772">
        <f t="shared" si="4"/>
        <v>1</v>
      </c>
      <c r="AC14" s="772">
        <f t="shared" si="5"/>
        <v>1</v>
      </c>
    </row>
    <row r="15" spans="1:29" ht="57">
      <c r="A15" s="439" t="s">
        <v>2560</v>
      </c>
      <c r="B15" s="628" t="s">
        <v>2799</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2" t="s">
        <v>2561</v>
      </c>
      <c r="Q15" s="1808" t="str">
        <f t="shared" si="6"/>
        <v>产业集聚程度</v>
      </c>
      <c r="R15" s="773" t="s">
        <v>17</v>
      </c>
      <c r="S15" s="774">
        <f t="shared" si="0"/>
        <v>100</v>
      </c>
      <c r="T15" s="773" t="s">
        <v>17</v>
      </c>
      <c r="U15" s="774">
        <f t="shared" si="1"/>
        <v>100</v>
      </c>
      <c r="V15" s="773" t="s">
        <v>17</v>
      </c>
      <c r="W15" s="774">
        <f t="shared" si="2"/>
        <v>100</v>
      </c>
      <c r="X15" s="1811"/>
      <c r="Y15" s="3212" t="s">
        <v>2561</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8"/>
      <c r="M16" s="1129"/>
      <c r="N16" s="1129"/>
      <c r="O16" s="1137"/>
      <c r="P16" s="3213"/>
      <c r="Q16" s="1808"/>
      <c r="R16" s="773"/>
      <c r="S16" s="774"/>
      <c r="T16" s="773"/>
      <c r="U16" s="774"/>
      <c r="V16" s="773"/>
      <c r="W16" s="774"/>
      <c r="X16" s="1811"/>
      <c r="Y16" s="3213"/>
      <c r="Z16" s="1812"/>
      <c r="AA16" s="1809">
        <v>1</v>
      </c>
      <c r="AB16" s="1809">
        <v>1</v>
      </c>
      <c r="AC16" s="1809">
        <v>1</v>
      </c>
    </row>
    <row r="17" spans="1:29" ht="85.5">
      <c r="A17" s="427"/>
      <c r="B17" s="630" t="s">
        <v>2710</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3"/>
      <c r="Q17" s="1808" t="str">
        <f>B17</f>
        <v>交通便捷度</v>
      </c>
      <c r="R17" s="773" t="s">
        <v>17</v>
      </c>
      <c r="S17" s="774">
        <f>F17</f>
        <v>100</v>
      </c>
      <c r="T17" s="773" t="s">
        <v>17</v>
      </c>
      <c r="U17" s="774">
        <f>H17</f>
        <v>100</v>
      </c>
      <c r="V17" s="773" t="s">
        <v>17</v>
      </c>
      <c r="W17" s="774">
        <f>J17</f>
        <v>100</v>
      </c>
      <c r="X17" s="1811"/>
      <c r="Y17" s="3213"/>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8"/>
      <c r="M18" s="1129"/>
      <c r="N18" s="1129"/>
      <c r="O18" s="1137"/>
      <c r="P18" s="3213"/>
      <c r="Q18" s="1808"/>
      <c r="R18" s="773"/>
      <c r="S18" s="774"/>
      <c r="T18" s="773"/>
      <c r="U18" s="774"/>
      <c r="V18" s="773"/>
      <c r="W18" s="774"/>
      <c r="X18" s="1811"/>
      <c r="Y18" s="3213"/>
      <c r="Z18" s="1812"/>
      <c r="AA18" s="1809">
        <v>1</v>
      </c>
      <c r="AB18" s="1809">
        <v>1</v>
      </c>
      <c r="AC18" s="1809">
        <v>1</v>
      </c>
    </row>
    <row r="19" spans="1:29" ht="15">
      <c r="A19" s="427"/>
      <c r="B19" s="630" t="s">
        <v>2749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3"/>
      <c r="Q19" s="1808" t="str">
        <f t="shared" ref="Q19:Q33" si="8">B19</f>
        <v>区域土地利用方向</v>
      </c>
      <c r="R19" s="773" t="s">
        <v>17</v>
      </c>
      <c r="S19" s="774">
        <f>F19</f>
        <v>100</v>
      </c>
      <c r="T19" s="773" t="s">
        <v>17</v>
      </c>
      <c r="U19" s="774">
        <f>H19</f>
        <v>100</v>
      </c>
      <c r="V19" s="773" t="s">
        <v>17</v>
      </c>
      <c r="W19" s="774">
        <f>J19</f>
        <v>100</v>
      </c>
      <c r="X19" s="1811"/>
      <c r="Y19" s="3213"/>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07"/>
      <c r="L20" s="1138"/>
      <c r="M20" s="1129"/>
      <c r="N20" s="1129"/>
      <c r="O20" s="1137"/>
      <c r="P20" s="3213"/>
      <c r="Q20" s="1808"/>
      <c r="R20" s="773"/>
      <c r="S20" s="774"/>
      <c r="T20" s="773"/>
      <c r="U20" s="774"/>
      <c r="V20" s="773"/>
      <c r="W20" s="774"/>
      <c r="X20" s="1811"/>
      <c r="Y20" s="3213"/>
      <c r="Z20" s="1812"/>
      <c r="AA20" s="1809"/>
      <c r="AB20" s="1809"/>
      <c r="AC20" s="1809"/>
    </row>
    <row r="21" spans="1:29" ht="71.25">
      <c r="A21" s="403"/>
      <c r="B21" s="630" t="s">
        <v>2800</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3"/>
      <c r="Q21" s="1808" t="str">
        <f t="shared" si="8"/>
        <v>环境状况</v>
      </c>
      <c r="R21" s="773" t="s">
        <v>17</v>
      </c>
      <c r="S21" s="774">
        <f>F21</f>
        <v>100</v>
      </c>
      <c r="T21" s="773" t="s">
        <v>17</v>
      </c>
      <c r="U21" s="774">
        <f>H21</f>
        <v>100</v>
      </c>
      <c r="V21" s="773" t="s">
        <v>17</v>
      </c>
      <c r="W21" s="774">
        <f>J21</f>
        <v>100</v>
      </c>
      <c r="X21" s="1811"/>
      <c r="Y21" s="3213"/>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8"/>
      <c r="M22" s="1129"/>
      <c r="N22" s="1129"/>
      <c r="O22" s="1137"/>
      <c r="P22" s="3213"/>
      <c r="Q22" s="1808"/>
      <c r="R22" s="773"/>
      <c r="S22" s="774"/>
      <c r="T22" s="773"/>
      <c r="U22" s="774"/>
      <c r="V22" s="773"/>
      <c r="W22" s="774"/>
      <c r="X22" s="1811"/>
      <c r="Y22" s="3213"/>
      <c r="Z22" s="1812"/>
      <c r="AA22" s="1809">
        <v>1</v>
      </c>
      <c r="AB22" s="1809">
        <v>1</v>
      </c>
      <c r="AC22" s="1809">
        <v>1</v>
      </c>
    </row>
    <row r="23" spans="1:29" s="116" customFormat="1" ht="42.75">
      <c r="A23" s="648"/>
      <c r="B23" s="632" t="s">
        <v>2655</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3"/>
      <c r="Q23" s="1793" t="str">
        <f t="shared" si="8"/>
        <v>公共配套设施</v>
      </c>
      <c r="R23" s="769" t="s">
        <v>17</v>
      </c>
      <c r="S23" s="770">
        <f>F23</f>
        <v>100</v>
      </c>
      <c r="T23" s="769" t="s">
        <v>17</v>
      </c>
      <c r="U23" s="770">
        <f>H23</f>
        <v>100</v>
      </c>
      <c r="V23" s="769" t="s">
        <v>17</v>
      </c>
      <c r="W23" s="770">
        <f>J23</f>
        <v>100</v>
      </c>
      <c r="X23" s="771"/>
      <c r="Y23" s="3213"/>
      <c r="Z23" s="54" t="str">
        <f>Q23</f>
        <v>公共配套设施</v>
      </c>
      <c r="AA23" s="1809">
        <f>D23/F23</f>
        <v>1</v>
      </c>
      <c r="AB23" s="1809">
        <f>D23/H23</f>
        <v>1</v>
      </c>
      <c r="AC23" s="1809">
        <f>D23/J23</f>
        <v>1</v>
      </c>
    </row>
    <row r="24" spans="1:29" s="116" customFormat="1" ht="15">
      <c r="A24" s="648"/>
      <c r="B24" s="631"/>
      <c r="C24" s="2697"/>
      <c r="D24" s="447"/>
      <c r="E24" s="2609"/>
      <c r="F24" s="447"/>
      <c r="G24" s="2609"/>
      <c r="H24" s="447"/>
      <c r="I24" s="446"/>
      <c r="J24" s="447"/>
      <c r="K24" s="671"/>
      <c r="L24" s="1130"/>
      <c r="M24" s="1131"/>
      <c r="N24" s="1131"/>
      <c r="O24" s="1132"/>
      <c r="P24" s="3213"/>
      <c r="Q24" s="1793"/>
      <c r="R24" s="769"/>
      <c r="S24" s="770"/>
      <c r="T24" s="769"/>
      <c r="U24" s="770"/>
      <c r="V24" s="769"/>
      <c r="W24" s="770"/>
      <c r="X24" s="771"/>
      <c r="Y24" s="3213"/>
      <c r="Z24" s="54"/>
      <c r="AA24" s="772">
        <v>1</v>
      </c>
      <c r="AB24" s="772">
        <v>1</v>
      </c>
      <c r="AC24" s="772">
        <v>1</v>
      </c>
    </row>
    <row r="25" spans="1:29" s="116" customFormat="1" ht="28.5">
      <c r="A25" s="648"/>
      <c r="B25" s="632" t="s">
        <v>2656</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3"/>
      <c r="Q25" s="1793" t="str">
        <f t="shared" ref="Q25" si="9">B25</f>
        <v>基础设施水平</v>
      </c>
      <c r="R25" s="769" t="s">
        <v>17</v>
      </c>
      <c r="S25" s="770">
        <f>F25</f>
        <v>100</v>
      </c>
      <c r="T25" s="769" t="s">
        <v>17</v>
      </c>
      <c r="U25" s="770">
        <f>H25</f>
        <v>100</v>
      </c>
      <c r="V25" s="769" t="s">
        <v>17</v>
      </c>
      <c r="W25" s="770">
        <f>J25</f>
        <v>100</v>
      </c>
      <c r="X25" s="771"/>
      <c r="Y25" s="3213"/>
      <c r="Z25" s="54" t="str">
        <f>Q25</f>
        <v>基础设施水平</v>
      </c>
      <c r="AA25" s="1809">
        <f>D25/F25</f>
        <v>1</v>
      </c>
      <c r="AB25" s="1809">
        <f>D25/H25</f>
        <v>1</v>
      </c>
      <c r="AC25" s="1809">
        <f>D25/J25</f>
        <v>1</v>
      </c>
    </row>
    <row r="26" spans="1:29" s="116" customFormat="1" ht="15">
      <c r="A26" s="648"/>
      <c r="B26" s="631"/>
      <c r="C26" s="2697"/>
      <c r="D26" s="447"/>
      <c r="E26" s="2698"/>
      <c r="F26" s="447"/>
      <c r="G26" s="2698"/>
      <c r="H26" s="447"/>
      <c r="I26" s="2698"/>
      <c r="J26" s="447"/>
      <c r="K26" s="671"/>
      <c r="L26" s="1130"/>
      <c r="M26" s="1131"/>
      <c r="N26" s="1131"/>
      <c r="O26" s="1132"/>
      <c r="P26" s="3213"/>
      <c r="Q26" s="1793"/>
      <c r="R26" s="769"/>
      <c r="S26" s="770"/>
      <c r="T26" s="769"/>
      <c r="U26" s="770"/>
      <c r="V26" s="769"/>
      <c r="W26" s="770"/>
      <c r="X26" s="771"/>
      <c r="Y26" s="3213"/>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3"/>
      <c r="Z27" s="1812" t="str">
        <f t="shared" ref="Z27:Z40" si="13">Q27</f>
        <v>临街状况</v>
      </c>
      <c r="AA27" s="1809">
        <f t="shared" si="3"/>
        <v>1</v>
      </c>
      <c r="AB27" s="1809">
        <f t="shared" si="4"/>
        <v>1</v>
      </c>
      <c r="AC27" s="1809">
        <f t="shared" si="5"/>
        <v>1</v>
      </c>
    </row>
    <row r="28" spans="1:29" ht="27">
      <c r="A28" s="427"/>
      <c r="B28" s="632" t="s">
        <v>2692</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3"/>
      <c r="Q28" s="1808" t="str">
        <f t="shared" si="8"/>
        <v>毗邻道路的类型与等级</v>
      </c>
      <c r="R28" s="773" t="s">
        <v>17</v>
      </c>
      <c r="S28" s="774">
        <f t="shared" si="10"/>
        <v>100</v>
      </c>
      <c r="T28" s="773" t="s">
        <v>17</v>
      </c>
      <c r="U28" s="774">
        <f t="shared" si="11"/>
        <v>100</v>
      </c>
      <c r="V28" s="773" t="s">
        <v>17</v>
      </c>
      <c r="W28" s="774">
        <f t="shared" si="12"/>
        <v>100</v>
      </c>
      <c r="X28" s="1811"/>
      <c r="Y28" s="3213"/>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8"/>
      <c r="M29" s="1129"/>
      <c r="N29" s="1129"/>
      <c r="O29" s="1137"/>
      <c r="P29" s="3213"/>
      <c r="Q29" s="1808"/>
      <c r="R29" s="773"/>
      <c r="S29" s="774"/>
      <c r="T29" s="773"/>
      <c r="U29" s="774"/>
      <c r="V29" s="773"/>
      <c r="W29" s="774"/>
      <c r="X29" s="1811"/>
      <c r="Y29" s="3213"/>
      <c r="Z29" s="1812"/>
      <c r="AA29" s="1809">
        <v>1</v>
      </c>
      <c r="AB29" s="1809">
        <v>1</v>
      </c>
      <c r="AC29" s="1809">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3"/>
      <c r="Q30" s="1808" t="str">
        <f t="shared" si="8"/>
        <v>土地级别</v>
      </c>
      <c r="R30" s="773" t="s">
        <v>17</v>
      </c>
      <c r="S30" s="774">
        <f t="shared" si="10"/>
        <v>100</v>
      </c>
      <c r="T30" s="773" t="s">
        <v>17</v>
      </c>
      <c r="U30" s="774">
        <f t="shared" si="11"/>
        <v>100</v>
      </c>
      <c r="V30" s="773" t="s">
        <v>17</v>
      </c>
      <c r="W30" s="774">
        <f t="shared" si="12"/>
        <v>100</v>
      </c>
      <c r="X30" s="1811"/>
      <c r="Y30" s="3213"/>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3"/>
      <c r="Q31" s="1808">
        <f t="shared" si="8"/>
        <v>111</v>
      </c>
      <c r="R31" s="773" t="s">
        <v>17</v>
      </c>
      <c r="S31" s="774">
        <f t="shared" si="10"/>
        <v>100</v>
      </c>
      <c r="T31" s="773" t="s">
        <v>17</v>
      </c>
      <c r="U31" s="774">
        <f t="shared" si="11"/>
        <v>100</v>
      </c>
      <c r="V31" s="773" t="s">
        <v>17</v>
      </c>
      <c r="W31" s="774">
        <f t="shared" si="12"/>
        <v>100</v>
      </c>
      <c r="X31" s="1811"/>
      <c r="Y31" s="3213"/>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20" t="s">
        <v>2566</v>
      </c>
      <c r="Q32" s="1808">
        <f t="shared" si="8"/>
        <v>111</v>
      </c>
      <c r="R32" s="773" t="s">
        <v>17</v>
      </c>
      <c r="S32" s="774">
        <f t="shared" si="10"/>
        <v>100</v>
      </c>
      <c r="T32" s="773" t="s">
        <v>17</v>
      </c>
      <c r="U32" s="774">
        <f t="shared" si="11"/>
        <v>100</v>
      </c>
      <c r="V32" s="773" t="s">
        <v>17</v>
      </c>
      <c r="W32" s="774">
        <f t="shared" si="12"/>
        <v>100</v>
      </c>
      <c r="X32" s="1811"/>
      <c r="Y32" s="3217" t="s">
        <v>2566</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7"/>
      <c r="Q33" s="1808">
        <f t="shared" si="8"/>
        <v>111</v>
      </c>
      <c r="R33" s="776" t="s">
        <v>17</v>
      </c>
      <c r="S33" s="777">
        <f t="shared" si="10"/>
        <v>100</v>
      </c>
      <c r="T33" s="776" t="s">
        <v>17</v>
      </c>
      <c r="U33" s="777">
        <f t="shared" si="11"/>
        <v>100</v>
      </c>
      <c r="V33" s="776" t="s">
        <v>17</v>
      </c>
      <c r="W33" s="777">
        <f t="shared" si="12"/>
        <v>100</v>
      </c>
      <c r="X33" s="778"/>
      <c r="Y33" s="3217"/>
      <c r="Z33" s="779">
        <f t="shared" si="13"/>
        <v>111</v>
      </c>
      <c r="AA33" s="1809">
        <f t="shared" si="3"/>
        <v>1</v>
      </c>
      <c r="AB33" s="1809">
        <f t="shared" si="4"/>
        <v>1</v>
      </c>
      <c r="AC33" s="1809">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7"/>
      <c r="Q34" s="1808" t="str">
        <f>B34</f>
        <v>宗地面积</v>
      </c>
      <c r="R34" s="773" t="s">
        <v>17</v>
      </c>
      <c r="S34" s="774" t="e">
        <f t="shared" si="10"/>
        <v>#N/A</v>
      </c>
      <c r="T34" s="773" t="s">
        <v>17</v>
      </c>
      <c r="U34" s="774" t="e">
        <f t="shared" si="11"/>
        <v>#N/A</v>
      </c>
      <c r="V34" s="773" t="s">
        <v>17</v>
      </c>
      <c r="W34" s="774" t="e">
        <f t="shared" si="12"/>
        <v>#N/A</v>
      </c>
      <c r="X34" s="1811"/>
      <c r="Y34" s="3217"/>
      <c r="Z34" s="1812" t="str">
        <f t="shared" si="13"/>
        <v>宗地面积</v>
      </c>
      <c r="AA34" s="1809" t="e">
        <f t="shared" si="3"/>
        <v>#N/A</v>
      </c>
      <c r="AB34" s="1809" t="e">
        <f t="shared" si="4"/>
        <v>#N/A</v>
      </c>
      <c r="AC34" s="1809" t="e">
        <f t="shared" si="5"/>
        <v>#N/A</v>
      </c>
    </row>
    <row r="35" spans="1:29" ht="15">
      <c r="A35" s="471"/>
      <c r="B35" s="421" t="s">
        <v>2753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17"/>
      <c r="Q35" s="1808" t="str">
        <f t="shared" ref="Q35:Q40" si="14">B35</f>
        <v>宗地形状</v>
      </c>
      <c r="R35" s="773" t="s">
        <v>17</v>
      </c>
      <c r="S35" s="774">
        <f t="shared" si="10"/>
        <v>100</v>
      </c>
      <c r="T35" s="773" t="s">
        <v>17</v>
      </c>
      <c r="U35" s="774">
        <f t="shared" si="11"/>
        <v>100</v>
      </c>
      <c r="V35" s="773" t="s">
        <v>17</v>
      </c>
      <c r="W35" s="774">
        <f t="shared" si="12"/>
        <v>100</v>
      </c>
      <c r="X35" s="1811"/>
      <c r="Y35" s="3217"/>
      <c r="Z35" s="1812" t="str">
        <f t="shared" si="13"/>
        <v>宗地形状</v>
      </c>
      <c r="AA35" s="1809">
        <f t="shared" si="3"/>
        <v>1</v>
      </c>
      <c r="AB35" s="1809">
        <f t="shared" si="4"/>
        <v>1</v>
      </c>
      <c r="AC35" s="1809">
        <f t="shared" si="5"/>
        <v>1</v>
      </c>
    </row>
    <row r="36" spans="1:29" s="116" customFormat="1" ht="15">
      <c r="A36" s="472"/>
      <c r="B36" s="421" t="s">
        <v>2755</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17"/>
      <c r="Q36" s="1808" t="str">
        <f t="shared" si="14"/>
        <v>宗地开发程度</v>
      </c>
      <c r="R36" s="769" t="s">
        <v>17</v>
      </c>
      <c r="S36" s="770">
        <f t="shared" si="10"/>
        <v>100</v>
      </c>
      <c r="T36" s="769" t="s">
        <v>17</v>
      </c>
      <c r="U36" s="770">
        <f t="shared" si="11"/>
        <v>100</v>
      </c>
      <c r="V36" s="769" t="s">
        <v>17</v>
      </c>
      <c r="W36" s="770">
        <f t="shared" si="12"/>
        <v>100</v>
      </c>
      <c r="X36" s="771"/>
      <c r="Y36" s="3217"/>
      <c r="Z36" s="54" t="str">
        <f t="shared" si="13"/>
        <v>宗地开发程度</v>
      </c>
      <c r="AA36" s="772">
        <f t="shared" si="3"/>
        <v>1</v>
      </c>
      <c r="AB36" s="772">
        <f t="shared" si="4"/>
        <v>1</v>
      </c>
      <c r="AC36" s="772">
        <f t="shared" si="5"/>
        <v>1</v>
      </c>
    </row>
    <row r="37" spans="1:29" ht="15">
      <c r="A37" s="471"/>
      <c r="B37" s="421" t="s">
        <v>2756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17" t="s">
        <v>2566</v>
      </c>
      <c r="Q37" s="1808" t="str">
        <f t="shared" si="14"/>
        <v>工程地质条件</v>
      </c>
      <c r="R37" s="773" t="s">
        <v>17</v>
      </c>
      <c r="S37" s="774">
        <f t="shared" si="10"/>
        <v>100</v>
      </c>
      <c r="T37" s="773" t="s">
        <v>17</v>
      </c>
      <c r="U37" s="774">
        <f t="shared" si="11"/>
        <v>100</v>
      </c>
      <c r="V37" s="773" t="s">
        <v>17</v>
      </c>
      <c r="W37" s="774">
        <f t="shared" si="12"/>
        <v>100</v>
      </c>
      <c r="X37" s="1811"/>
      <c r="Y37" s="3217" t="s">
        <v>2566</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7"/>
      <c r="Q38" s="1808">
        <f t="shared" si="14"/>
        <v>111</v>
      </c>
      <c r="R38" s="773" t="s">
        <v>17</v>
      </c>
      <c r="S38" s="774">
        <f t="shared" si="10"/>
        <v>100</v>
      </c>
      <c r="T38" s="773" t="s">
        <v>17</v>
      </c>
      <c r="U38" s="774">
        <f t="shared" si="11"/>
        <v>100</v>
      </c>
      <c r="V38" s="773" t="s">
        <v>17</v>
      </c>
      <c r="W38" s="774">
        <f t="shared" si="12"/>
        <v>100</v>
      </c>
      <c r="X38" s="1811"/>
      <c r="Y38" s="321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7"/>
      <c r="Q39" s="1808">
        <f t="shared" si="14"/>
        <v>111</v>
      </c>
      <c r="R39" s="773" t="s">
        <v>17</v>
      </c>
      <c r="S39" s="774">
        <f t="shared" si="10"/>
        <v>100</v>
      </c>
      <c r="T39" s="773" t="s">
        <v>17</v>
      </c>
      <c r="U39" s="774">
        <f t="shared" si="11"/>
        <v>100</v>
      </c>
      <c r="V39" s="773" t="s">
        <v>17</v>
      </c>
      <c r="W39" s="774">
        <f t="shared" si="12"/>
        <v>100</v>
      </c>
      <c r="X39" s="1811"/>
      <c r="Y39" s="3217"/>
      <c r="Z39" s="1812">
        <f t="shared" si="13"/>
        <v>111</v>
      </c>
      <c r="AA39" s="1809">
        <f t="shared" si="3"/>
        <v>1</v>
      </c>
      <c r="AB39" s="1809">
        <f t="shared" si="4"/>
        <v>1</v>
      </c>
      <c r="AC39" s="1809">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7"/>
      <c r="Q40" s="1808">
        <f t="shared" si="14"/>
        <v>111</v>
      </c>
      <c r="R40" s="776" t="s">
        <v>17</v>
      </c>
      <c r="S40" s="777">
        <f t="shared" si="10"/>
        <v>100</v>
      </c>
      <c r="T40" s="776" t="s">
        <v>17</v>
      </c>
      <c r="U40" s="777">
        <f t="shared" si="11"/>
        <v>100</v>
      </c>
      <c r="V40" s="776" t="s">
        <v>17</v>
      </c>
      <c r="W40" s="777">
        <f t="shared" si="12"/>
        <v>100</v>
      </c>
      <c r="X40" s="778"/>
      <c r="Y40" s="3217"/>
      <c r="Z40" s="779">
        <f t="shared" si="13"/>
        <v>111</v>
      </c>
      <c r="AA40" s="1809">
        <f t="shared" si="3"/>
        <v>1</v>
      </c>
      <c r="AB40" s="1809">
        <f t="shared" si="4"/>
        <v>1</v>
      </c>
      <c r="AC40" s="1809">
        <f t="shared" si="5"/>
        <v>1</v>
      </c>
    </row>
    <row r="41" spans="1:29" ht="15">
      <c r="A41" s="478" t="s">
        <v>2721</v>
      </c>
      <c r="B41" s="2701" t="s">
        <v>2801</v>
      </c>
      <c r="C41" s="681" t="s">
        <v>1</v>
      </c>
      <c r="D41" s="480"/>
      <c r="E41" s="481"/>
      <c r="F41" s="482"/>
      <c r="G41" s="483"/>
      <c r="H41" s="484"/>
      <c r="I41" s="481"/>
      <c r="J41" s="484"/>
      <c r="K41" s="782"/>
      <c r="L41" s="1141"/>
      <c r="M41" s="1129"/>
      <c r="N41" s="1129"/>
      <c r="O41" s="1142"/>
      <c r="P41" s="3205" t="str">
        <f>A41</f>
        <v>成交单价</v>
      </c>
      <c r="Q41" s="3205"/>
      <c r="R41" s="3239">
        <f>E41</f>
        <v>0</v>
      </c>
      <c r="S41" s="3239"/>
      <c r="T41" s="3239">
        <f>G41</f>
        <v>0</v>
      </c>
      <c r="U41" s="3239"/>
      <c r="V41" s="3239">
        <f>I41</f>
        <v>0</v>
      </c>
      <c r="W41" s="3239"/>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1"/>
      <c r="M42" s="1129"/>
      <c r="N42" s="1129"/>
      <c r="O42" s="1142"/>
      <c r="P42" s="3205" t="str">
        <f>A42</f>
        <v>比较价值（元/平方米）</v>
      </c>
      <c r="Q42" s="3205"/>
      <c r="R42" s="3321" t="e">
        <f>ROUND(PRODUCT(R41,AA7:AA40),0)</f>
        <v>#DIV/0!</v>
      </c>
      <c r="S42" s="3321"/>
      <c r="T42" s="3321" t="e">
        <f>ROUND(PRODUCT(T41,AB7:AB40),0)</f>
        <v>#DIV/0!</v>
      </c>
      <c r="U42" s="3321"/>
      <c r="V42" s="3321" t="e">
        <f>ROUND(PRODUCT(V41,AC7:AC40),0)</f>
        <v>#DIV/0!</v>
      </c>
      <c r="W42" s="332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1"/>
      <c r="M43" s="1129"/>
      <c r="N43" s="1129"/>
      <c r="O43" s="1142"/>
      <c r="P43" s="3307" t="str">
        <f>A43</f>
        <v>估价对象XX用房的比较价值（楼面单价，元/平方米）</v>
      </c>
      <c r="Q43" s="3308"/>
      <c r="R43" s="3322" t="e">
        <f>ROUND(AVERAGE(R42:V42),0)</f>
        <v>#DIV/0!</v>
      </c>
      <c r="S43" s="3322"/>
      <c r="T43" s="3322"/>
      <c r="U43" s="3322"/>
      <c r="V43" s="3322"/>
      <c r="W43" s="3322"/>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2759</v>
      </c>
      <c r="B50" s="684" t="s">
        <v>2760</v>
      </c>
      <c r="C50" s="2702" t="s">
        <v>2761</v>
      </c>
      <c r="D50" s="2703" t="s">
        <v>2762</v>
      </c>
      <c r="E50" s="685" t="s">
        <v>2763</v>
      </c>
      <c r="F50" s="686" t="s">
        <v>2764</v>
      </c>
      <c r="G50" s="3222" t="s">
        <v>2765</v>
      </c>
      <c r="H50" s="3323"/>
      <c r="I50" s="1812" t="s">
        <v>2802</v>
      </c>
      <c r="J50" s="1812">
        <f>项目基本情况!F35</f>
        <v>0</v>
      </c>
      <c r="K50" s="2705" t="s">
        <v>2767</v>
      </c>
      <c r="L50" s="1104"/>
      <c r="M50" s="1142"/>
      <c r="N50" s="1142"/>
      <c r="O50" s="1142"/>
    </row>
    <row r="51" spans="1:17" s="691" customFormat="1">
      <c r="A51" s="687" t="s">
        <v>2768</v>
      </c>
      <c r="B51" s="688" t="e">
        <f>C43</f>
        <v>#DIV/0!</v>
      </c>
      <c r="C51" s="689">
        <v>1</v>
      </c>
      <c r="D51" s="1161">
        <v>1</v>
      </c>
      <c r="E51" s="689">
        <f>'数据-汇总表'!E8+'数据-汇总表'!E9</f>
        <v>24052.409999999996</v>
      </c>
      <c r="F51" s="690" t="e">
        <f t="shared" ref="F51:F60" si="15">ROUND(B51*E51/10000,0)</f>
        <v>#DIV/0!</v>
      </c>
      <c r="G51" s="3204"/>
      <c r="H51" s="3205"/>
      <c r="I51" s="940">
        <v>1</v>
      </c>
      <c r="J51" s="940">
        <v>1</v>
      </c>
      <c r="K51" s="1143"/>
      <c r="L51" s="939"/>
      <c r="M51" s="939"/>
      <c r="N51" s="939"/>
      <c r="O51" s="939"/>
    </row>
    <row r="52" spans="1:17" s="691" customFormat="1">
      <c r="A52" s="692" t="s">
        <v>2769</v>
      </c>
      <c r="B52" s="261" t="e">
        <f>ROUND($C$43*C52*D52,0)</f>
        <v>#DIV/0!</v>
      </c>
      <c r="C52" s="199">
        <f t="shared" ref="C52:C60" si="16">IF($C$50="北京市系数",I52,J52)</f>
        <v>0</v>
      </c>
      <c r="D52" s="1162">
        <v>0.25</v>
      </c>
      <c r="E52" s="693"/>
      <c r="F52" s="690" t="e">
        <f t="shared" si="15"/>
        <v>#DIV/0!</v>
      </c>
      <c r="G52" s="3324" t="s">
        <v>2770</v>
      </c>
      <c r="H52" s="1102">
        <f>项目基本情况!B37</f>
        <v>0</v>
      </c>
      <c r="I52" s="940">
        <f>SUMIF(修正!A45:A56,H52,修正!B45:B56)</f>
        <v>0</v>
      </c>
      <c r="J52" s="941"/>
      <c r="K52" s="1142"/>
      <c r="L52" s="939"/>
      <c r="M52" s="939"/>
      <c r="N52" s="939"/>
      <c r="O52" s="939"/>
    </row>
    <row r="53" spans="1:17" s="691" customFormat="1">
      <c r="A53" s="692" t="s">
        <v>2771</v>
      </c>
      <c r="B53" s="261" t="e">
        <f t="shared" ref="B53:B60" si="17">ROUND($C$43*C53*D53,0)</f>
        <v>#DIV/0!</v>
      </c>
      <c r="C53" s="199">
        <f t="shared" si="16"/>
        <v>0</v>
      </c>
      <c r="D53" s="1162">
        <v>0.25</v>
      </c>
      <c r="E53" s="693"/>
      <c r="F53" s="690" t="e">
        <f t="shared" si="15"/>
        <v>#DIV/0!</v>
      </c>
      <c r="G53" s="3324"/>
      <c r="H53" s="1102">
        <f>项目基本情况!B37</f>
        <v>0</v>
      </c>
      <c r="I53" s="940">
        <f>SUMIF(修正!A45:A56,H53,修正!C45:C56)</f>
        <v>0</v>
      </c>
      <c r="J53" s="941"/>
      <c r="K53" s="1143"/>
      <c r="L53" s="939"/>
      <c r="M53" s="939"/>
      <c r="N53" s="939"/>
      <c r="O53" s="939"/>
    </row>
    <row r="54" spans="1:17" s="691" customFormat="1">
      <c r="A54" s="692" t="s">
        <v>2772</v>
      </c>
      <c r="B54" s="261" t="e">
        <f t="shared" si="17"/>
        <v>#DIV/0!</v>
      </c>
      <c r="C54" s="199">
        <f t="shared" si="16"/>
        <v>0</v>
      </c>
      <c r="D54" s="1162">
        <v>0.25</v>
      </c>
      <c r="E54" s="693"/>
      <c r="F54" s="690" t="e">
        <f t="shared" si="15"/>
        <v>#DIV/0!</v>
      </c>
      <c r="G54" s="3324"/>
      <c r="H54" s="1102">
        <f>项目基本情况!B37</f>
        <v>0</v>
      </c>
      <c r="I54" s="940">
        <f>SUMIF(修正!A45:A56,H54,修正!D45:D56)</f>
        <v>0</v>
      </c>
      <c r="J54" s="941"/>
      <c r="K54" s="1142"/>
      <c r="L54" s="939"/>
      <c r="M54" s="939"/>
      <c r="N54" s="939"/>
      <c r="O54" s="939"/>
    </row>
    <row r="55" spans="1:17" s="691" customFormat="1">
      <c r="A55" s="692" t="s">
        <v>2773</v>
      </c>
      <c r="B55" s="261" t="e">
        <f t="shared" si="17"/>
        <v>#DIV/0!</v>
      </c>
      <c r="C55" s="199">
        <f t="shared" si="16"/>
        <v>0</v>
      </c>
      <c r="D55" s="1162">
        <v>0.25</v>
      </c>
      <c r="E55" s="693"/>
      <c r="F55" s="690" t="e">
        <f t="shared" si="15"/>
        <v>#DIV/0!</v>
      </c>
      <c r="G55" s="3324"/>
      <c r="H55" s="1102">
        <f>项目基本情况!B37</f>
        <v>0</v>
      </c>
      <c r="I55" s="940">
        <f>SUMIF(修正!A45:A56,H55,修正!E45:E56)</f>
        <v>0</v>
      </c>
      <c r="J55" s="941"/>
      <c r="K55" s="1143"/>
      <c r="L55" s="939"/>
      <c r="M55" s="939"/>
      <c r="N55" s="939"/>
      <c r="O55" s="939"/>
    </row>
    <row r="56" spans="1:17" s="691" customFormat="1">
      <c r="A56" s="692" t="s">
        <v>2774</v>
      </c>
      <c r="B56" s="261" t="e">
        <f t="shared" si="17"/>
        <v>#DIV/0!</v>
      </c>
      <c r="C56" s="199">
        <f t="shared" si="16"/>
        <v>0.25</v>
      </c>
      <c r="D56" s="1162">
        <v>0.25</v>
      </c>
      <c r="E56" s="260">
        <f>'数据-汇总表'!E11</f>
        <v>0</v>
      </c>
      <c r="F56" s="690" t="e">
        <f t="shared" si="15"/>
        <v>#DIV/0!</v>
      </c>
      <c r="G56" s="2706" t="s">
        <v>2775</v>
      </c>
      <c r="H56" s="1102" t="str">
        <f>项目基本情况!C37</f>
        <v>五级</v>
      </c>
      <c r="I56" s="940">
        <f>SUMIF(修正!A45:A56,H56,修正!F45:F56)</f>
        <v>0.25</v>
      </c>
      <c r="J56" s="941"/>
      <c r="K56" s="1142"/>
      <c r="L56" s="939"/>
      <c r="M56" s="939"/>
      <c r="N56" s="939"/>
      <c r="O56" s="939"/>
    </row>
    <row r="57" spans="1:17" s="691" customFormat="1">
      <c r="A57" s="692" t="s">
        <v>2776</v>
      </c>
      <c r="B57" s="261" t="e">
        <f t="shared" si="17"/>
        <v>#DIV/0!</v>
      </c>
      <c r="C57" s="199">
        <f t="shared" si="16"/>
        <v>0.25</v>
      </c>
      <c r="D57" s="1162">
        <v>0.25</v>
      </c>
      <c r="E57" s="260">
        <f>'数据-汇总表'!E12</f>
        <v>6180.34</v>
      </c>
      <c r="F57" s="690" t="e">
        <f t="shared" si="15"/>
        <v>#DIV/0!</v>
      </c>
      <c r="G57" s="1107" t="s">
        <v>2777</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1" customFormat="1">
      <c r="A58" s="692" t="s">
        <v>2778</v>
      </c>
      <c r="B58" s="261" t="e">
        <f t="shared" si="17"/>
        <v>#DIV/0!</v>
      </c>
      <c r="C58" s="199">
        <f t="shared" si="16"/>
        <v>0</v>
      </c>
      <c r="D58" s="1162">
        <v>0.25</v>
      </c>
      <c r="E58" s="260">
        <f>'数据-汇总表'!E13</f>
        <v>3774.75</v>
      </c>
      <c r="F58" s="690"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2780</v>
      </c>
      <c r="B59" s="261" t="e">
        <f t="shared" si="17"/>
        <v>#DIV/0!</v>
      </c>
      <c r="C59" s="199">
        <f t="shared" si="16"/>
        <v>0</v>
      </c>
      <c r="D59" s="1162">
        <v>0.25</v>
      </c>
      <c r="E59" s="260">
        <f>'数据-汇总表'!E14</f>
        <v>0</v>
      </c>
      <c r="F59" s="690" t="e">
        <f t="shared" si="15"/>
        <v>#DIV/0!</v>
      </c>
      <c r="G59" s="2706" t="s">
        <v>2770</v>
      </c>
      <c r="H59" s="1102">
        <f>项目基本情况!B37</f>
        <v>0</v>
      </c>
      <c r="I59" s="940">
        <f>SUMIF(修正!A45:A56,H59,修正!H45:H56)</f>
        <v>0</v>
      </c>
      <c r="J59" s="941"/>
      <c r="K59" s="1143"/>
      <c r="L59" s="939"/>
      <c r="M59" s="939"/>
      <c r="N59" s="939"/>
      <c r="O59" s="939"/>
    </row>
    <row r="60" spans="1:17" s="691" customFormat="1" ht="15" thickBot="1">
      <c r="A60" s="692" t="s">
        <v>2781</v>
      </c>
      <c r="B60" s="261" t="e">
        <f t="shared" si="17"/>
        <v>#DIV/0!</v>
      </c>
      <c r="C60" s="199">
        <f t="shared" si="16"/>
        <v>0.2</v>
      </c>
      <c r="D60" s="1162">
        <v>0.25</v>
      </c>
      <c r="E60" s="260">
        <f>'数据-汇总表'!E15</f>
        <v>0</v>
      </c>
      <c r="F60" s="690" t="e">
        <f t="shared" si="15"/>
        <v>#DIV/0!</v>
      </c>
      <c r="G60" s="2707" t="s">
        <v>2775</v>
      </c>
      <c r="H60" s="1112" t="str">
        <f>项目基本情况!C37</f>
        <v>五级</v>
      </c>
      <c r="I60" s="940">
        <f>SUMIF(修正!A45:A56,H60,修正!H45:H56)</f>
        <v>0.2</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15019.6</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2018-5-1</v>
      </c>
      <c r="D63" s="760">
        <f>EDATE(C63,-3)</f>
        <v>43132</v>
      </c>
      <c r="E63" s="760">
        <f>EDATE(D63,-3)</f>
        <v>43040</v>
      </c>
      <c r="F63" s="760">
        <f t="shared" ref="F63:O63" si="18">EDATE(E63,-3)</f>
        <v>42948</v>
      </c>
      <c r="G63" s="760">
        <f t="shared" si="18"/>
        <v>42856</v>
      </c>
      <c r="H63" s="760">
        <f t="shared" si="18"/>
        <v>42767</v>
      </c>
      <c r="I63" s="760">
        <f t="shared" si="18"/>
        <v>42675</v>
      </c>
      <c r="J63" s="760">
        <f t="shared" si="18"/>
        <v>42583</v>
      </c>
      <c r="K63" s="760">
        <f t="shared" si="18"/>
        <v>42491</v>
      </c>
      <c r="L63" s="760">
        <f t="shared" si="18"/>
        <v>42401</v>
      </c>
      <c r="M63" s="760">
        <f t="shared" si="18"/>
        <v>42309</v>
      </c>
      <c r="N63" s="760">
        <f t="shared" si="18"/>
        <v>42217</v>
      </c>
      <c r="O63" s="760">
        <f t="shared" si="18"/>
        <v>42125</v>
      </c>
    </row>
    <row r="64" spans="1:17" ht="21.75" thickBot="1">
      <c r="A64" s="762" t="s">
        <v>2675</v>
      </c>
      <c r="B64" s="758"/>
      <c r="C64" s="763"/>
      <c r="D64" s="763"/>
      <c r="E64" s="763"/>
      <c r="F64" s="764"/>
      <c r="G64" s="764"/>
      <c r="H64" s="763"/>
      <c r="I64" s="763"/>
      <c r="J64" s="763"/>
      <c r="K64" s="765"/>
      <c r="L64" s="766"/>
      <c r="M64" s="763"/>
      <c r="N64" s="763"/>
      <c r="O64" s="1157"/>
      <c r="P64" s="502"/>
      <c r="Q64" s="503"/>
    </row>
    <row r="65" spans="1:17" s="507" customFormat="1" ht="15">
      <c r="A65" s="2708" t="s">
        <v>2783</v>
      </c>
      <c r="B65" s="1357"/>
      <c r="C65" s="1570" t="str">
        <f>YEAR(C63)&amp;"-"&amp;ROUNDUP(MONTH(C63)/3,0)</f>
        <v>2018-2</v>
      </c>
      <c r="D65" s="1570" t="str">
        <f t="shared" ref="D65:O65" si="19">YEAR(D63)&amp;"-"&amp;ROUNDUP(MONTH(D63)/3,0)</f>
        <v>2018-1</v>
      </c>
      <c r="E65" s="1570" t="str">
        <f t="shared" si="19"/>
        <v>2017-4</v>
      </c>
      <c r="F65" s="1570" t="str">
        <f t="shared" si="19"/>
        <v>2017-3</v>
      </c>
      <c r="G65" s="1570" t="str">
        <f t="shared" si="19"/>
        <v>2017-2</v>
      </c>
      <c r="H65" s="1570" t="str">
        <f t="shared" si="19"/>
        <v>2017-1</v>
      </c>
      <c r="I65" s="1570" t="str">
        <f t="shared" si="19"/>
        <v>2016-4</v>
      </c>
      <c r="J65" s="1570" t="str">
        <f t="shared" si="19"/>
        <v>2016-3</v>
      </c>
      <c r="K65" s="1570" t="str">
        <f t="shared" si="19"/>
        <v>2016-2</v>
      </c>
      <c r="L65" s="1570" t="str">
        <f t="shared" si="19"/>
        <v>2016-1</v>
      </c>
      <c r="M65" s="1570" t="str">
        <f t="shared" si="19"/>
        <v>2015-4</v>
      </c>
      <c r="N65" s="1570" t="str">
        <f t="shared" si="19"/>
        <v>2015-3</v>
      </c>
      <c r="O65" s="1570" t="str">
        <f t="shared" si="19"/>
        <v>2015-2</v>
      </c>
      <c r="P65" s="506"/>
    </row>
    <row r="66" spans="1:17" s="116" customFormat="1" ht="30.75" customHeight="1">
      <c r="A66" s="2713" t="s">
        <v>2803</v>
      </c>
      <c r="B66" s="331" t="str">
        <f>"北京市平均增长率"&amp;TEXT(基准地价修正!P24,"0.00%")</f>
        <v>北京市平均增长率1.35%</v>
      </c>
      <c r="C66" s="602">
        <v>100</v>
      </c>
      <c r="D66" s="594"/>
      <c r="E66" s="594"/>
      <c r="F66" s="594"/>
      <c r="G66" s="594"/>
      <c r="H66" s="594"/>
      <c r="I66" s="594"/>
      <c r="J66" s="594"/>
      <c r="K66" s="594"/>
      <c r="L66" s="594"/>
      <c r="M66" s="1565"/>
      <c r="N66" s="1565"/>
      <c r="O66" s="1567"/>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2558</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2692</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2751</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2793</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9" t="s">
        <v>183</v>
      </c>
      <c r="B18" s="877" t="s">
        <v>560</v>
      </c>
      <c r="C18" s="878" t="s">
        <v>561</v>
      </c>
      <c r="D18" s="879"/>
      <c r="E18" s="877">
        <v>1</v>
      </c>
      <c r="F18" s="880" t="s">
        <v>562</v>
      </c>
      <c r="G18" s="881"/>
      <c r="H18" s="873"/>
      <c r="I18" s="873"/>
    </row>
    <row r="19" spans="1:9" s="882" customFormat="1" ht="19.5" customHeight="1">
      <c r="A19" s="3329"/>
      <c r="B19" s="3329" t="s">
        <v>563</v>
      </c>
      <c r="C19" s="878" t="s">
        <v>564</v>
      </c>
      <c r="D19" s="879"/>
      <c r="E19" s="877">
        <v>0.9</v>
      </c>
      <c r="F19" s="880" t="s">
        <v>565</v>
      </c>
      <c r="G19" s="881"/>
      <c r="H19" s="873"/>
      <c r="I19" s="873"/>
    </row>
    <row r="20" spans="1:9" s="882" customFormat="1" ht="19.5" customHeight="1">
      <c r="A20" s="3329"/>
      <c r="B20" s="3329"/>
      <c r="C20" s="878" t="s">
        <v>566</v>
      </c>
      <c r="D20" s="879"/>
      <c r="E20" s="877">
        <v>1.1000000000000001</v>
      </c>
      <c r="F20" s="880" t="s">
        <v>567</v>
      </c>
      <c r="G20" s="881"/>
      <c r="H20" s="873"/>
      <c r="I20" s="873"/>
    </row>
    <row r="21" spans="1:9" s="882" customFormat="1" ht="19.5" customHeight="1">
      <c r="A21" s="3329"/>
      <c r="B21" s="3329"/>
      <c r="C21" s="878" t="s">
        <v>568</v>
      </c>
      <c r="D21" s="879"/>
      <c r="E21" s="877">
        <v>0.8</v>
      </c>
      <c r="F21" s="880" t="s">
        <v>569</v>
      </c>
      <c r="G21" s="881"/>
      <c r="H21" s="873"/>
      <c r="I21" s="873"/>
    </row>
    <row r="22" spans="1:9" s="882" customFormat="1" ht="19.5" customHeight="1">
      <c r="A22" s="3329"/>
      <c r="B22" s="3329"/>
      <c r="C22" s="878" t="s">
        <v>570</v>
      </c>
      <c r="D22" s="879"/>
      <c r="E22" s="877">
        <v>0.5</v>
      </c>
      <c r="F22" s="880"/>
      <c r="G22" s="881"/>
      <c r="H22" s="873"/>
      <c r="I22" s="873"/>
    </row>
    <row r="23" spans="1:9" s="882" customFormat="1" ht="19.5" customHeight="1">
      <c r="A23" s="3329" t="s">
        <v>184</v>
      </c>
      <c r="B23" s="877" t="s">
        <v>560</v>
      </c>
      <c r="C23" s="878" t="s">
        <v>571</v>
      </c>
      <c r="D23" s="879"/>
      <c r="E23" s="877">
        <v>1</v>
      </c>
      <c r="F23" s="880" t="s">
        <v>572</v>
      </c>
      <c r="G23" s="881"/>
      <c r="H23" s="873"/>
      <c r="I23" s="873"/>
    </row>
    <row r="24" spans="1:9" s="882" customFormat="1" ht="19.5" customHeight="1">
      <c r="A24" s="3329"/>
      <c r="B24" s="3329" t="s">
        <v>563</v>
      </c>
      <c r="C24" s="878" t="s">
        <v>573</v>
      </c>
      <c r="D24" s="879"/>
      <c r="E24" s="877">
        <v>0.5</v>
      </c>
      <c r="F24" s="880"/>
      <c r="G24" s="881"/>
      <c r="H24" s="873"/>
      <c r="I24" s="873"/>
    </row>
    <row r="25" spans="1:9" s="882" customFormat="1" ht="19.5" customHeight="1">
      <c r="A25" s="3329"/>
      <c r="B25" s="3329"/>
      <c r="C25" s="878" t="s">
        <v>574</v>
      </c>
      <c r="D25" s="879"/>
      <c r="E25" s="877">
        <v>1.1000000000000001</v>
      </c>
      <c r="F25" s="880"/>
      <c r="G25" s="881"/>
      <c r="H25" s="873"/>
      <c r="I25" s="873"/>
    </row>
    <row r="26" spans="1:9" s="882" customFormat="1" ht="19.5" customHeight="1">
      <c r="A26" s="3329"/>
      <c r="B26" s="3329"/>
      <c r="C26" s="878" t="s">
        <v>575</v>
      </c>
      <c r="D26" s="879"/>
      <c r="E26" s="877">
        <v>1.1000000000000001</v>
      </c>
      <c r="F26" s="880"/>
      <c r="G26" s="881"/>
      <c r="H26" s="873"/>
      <c r="I26" s="873"/>
    </row>
    <row r="27" spans="1:9" s="882" customFormat="1" ht="19.5" customHeight="1">
      <c r="A27" s="3329"/>
      <c r="B27" s="3329"/>
      <c r="C27" s="878" t="s">
        <v>576</v>
      </c>
      <c r="D27" s="879"/>
      <c r="E27" s="877">
        <v>0.9</v>
      </c>
      <c r="F27" s="880" t="s">
        <v>577</v>
      </c>
      <c r="G27" s="881"/>
      <c r="H27" s="873"/>
      <c r="I27" s="873"/>
    </row>
    <row r="28" spans="1:9" s="882" customFormat="1" ht="19.5" customHeight="1">
      <c r="A28" s="3329"/>
      <c r="B28" s="3329"/>
      <c r="C28" s="878" t="s">
        <v>578</v>
      </c>
      <c r="D28" s="879"/>
      <c r="E28" s="877">
        <v>0.9</v>
      </c>
      <c r="F28" s="880" t="s">
        <v>579</v>
      </c>
      <c r="G28" s="881"/>
      <c r="H28" s="873"/>
      <c r="I28" s="873"/>
    </row>
    <row r="29" spans="1:9" s="882" customFormat="1" ht="19.5" customHeight="1">
      <c r="A29" s="3329"/>
      <c r="B29" s="3329"/>
      <c r="C29" s="878" t="s">
        <v>580</v>
      </c>
      <c r="D29" s="879"/>
      <c r="E29" s="877">
        <v>0.9</v>
      </c>
      <c r="F29" s="880" t="s">
        <v>581</v>
      </c>
      <c r="G29" s="881"/>
      <c r="H29" s="873"/>
      <c r="I29" s="873"/>
    </row>
    <row r="30" spans="1:9" s="882" customFormat="1" ht="19.5" customHeight="1">
      <c r="A30" s="3329"/>
      <c r="B30" s="3329"/>
      <c r="C30" s="878" t="s">
        <v>582</v>
      </c>
      <c r="D30" s="879"/>
      <c r="E30" s="877">
        <v>0.9</v>
      </c>
      <c r="F30" s="880" t="s">
        <v>583</v>
      </c>
      <c r="G30" s="881"/>
      <c r="H30" s="873"/>
      <c r="I30" s="873"/>
    </row>
    <row r="31" spans="1:9" s="882" customFormat="1" ht="19.5" customHeight="1">
      <c r="A31" s="3329"/>
      <c r="B31" s="3329"/>
      <c r="C31" s="878" t="s">
        <v>584</v>
      </c>
      <c r="D31" s="879"/>
      <c r="E31" s="877">
        <v>0.8</v>
      </c>
      <c r="F31" s="880" t="s">
        <v>585</v>
      </c>
      <c r="G31" s="881"/>
      <c r="H31" s="873"/>
      <c r="I31" s="873"/>
    </row>
    <row r="32" spans="1:9" s="882" customFormat="1" ht="19.5" customHeight="1">
      <c r="A32" s="3329"/>
      <c r="B32" s="3329"/>
      <c r="C32" s="878" t="s">
        <v>586</v>
      </c>
      <c r="D32" s="879"/>
      <c r="E32" s="877">
        <v>0.8</v>
      </c>
      <c r="F32" s="880" t="s">
        <v>587</v>
      </c>
      <c r="G32" s="881"/>
      <c r="H32" s="873"/>
      <c r="I32" s="873"/>
    </row>
    <row r="33" spans="1:9" s="882" customFormat="1" ht="19.5" customHeight="1">
      <c r="A33" s="3329" t="s">
        <v>185</v>
      </c>
      <c r="B33" s="877" t="s">
        <v>560</v>
      </c>
      <c r="C33" s="878" t="s">
        <v>588</v>
      </c>
      <c r="D33" s="879"/>
      <c r="E33" s="877">
        <v>1</v>
      </c>
      <c r="F33" s="880" t="s">
        <v>589</v>
      </c>
      <c r="G33" s="881"/>
      <c r="H33" s="873"/>
      <c r="I33" s="873"/>
    </row>
    <row r="34" spans="1:9" s="882" customFormat="1" ht="19.5" customHeight="1">
      <c r="A34" s="3329"/>
      <c r="B34" s="877" t="s">
        <v>563</v>
      </c>
      <c r="C34" s="878" t="s">
        <v>590</v>
      </c>
      <c r="D34" s="879"/>
      <c r="E34" s="877">
        <v>1.5</v>
      </c>
      <c r="F34" s="880" t="s">
        <v>591</v>
      </c>
      <c r="G34" s="881"/>
      <c r="H34" s="873"/>
      <c r="I34" s="873"/>
    </row>
    <row r="35" spans="1:9" s="882" customFormat="1" ht="19.5" customHeight="1">
      <c r="A35" s="3329" t="s">
        <v>186</v>
      </c>
      <c r="B35" s="877" t="s">
        <v>560</v>
      </c>
      <c r="C35" s="878" t="s">
        <v>592</v>
      </c>
      <c r="D35" s="879"/>
      <c r="E35" s="877">
        <v>1</v>
      </c>
      <c r="F35" s="880" t="s">
        <v>593</v>
      </c>
      <c r="G35" s="881"/>
      <c r="H35" s="873"/>
      <c r="I35" s="873"/>
    </row>
    <row r="36" spans="1:9" s="882" customFormat="1" ht="19.5" customHeight="1">
      <c r="A36" s="3329"/>
      <c r="B36" s="3329" t="s">
        <v>563</v>
      </c>
      <c r="C36" s="878" t="s">
        <v>594</v>
      </c>
      <c r="D36" s="879"/>
      <c r="E36" s="877">
        <v>1</v>
      </c>
      <c r="F36" s="880" t="s">
        <v>595</v>
      </c>
      <c r="G36" s="881"/>
      <c r="H36" s="873"/>
      <c r="I36" s="873"/>
    </row>
    <row r="37" spans="1:9" s="882" customFormat="1" ht="19.5" customHeight="1">
      <c r="A37" s="3329"/>
      <c r="B37" s="3329"/>
      <c r="C37" s="878" t="s">
        <v>596</v>
      </c>
      <c r="D37" s="879"/>
      <c r="E37" s="877">
        <v>1.5</v>
      </c>
      <c r="F37" s="880" t="s">
        <v>597</v>
      </c>
      <c r="G37" s="881"/>
      <c r="H37" s="873"/>
      <c r="I37" s="873"/>
    </row>
    <row r="38" spans="1:9" s="882" customFormat="1" ht="19.5" customHeight="1">
      <c r="A38" s="3329"/>
      <c r="B38" s="3329"/>
      <c r="C38" s="878" t="s">
        <v>598</v>
      </c>
      <c r="D38" s="879"/>
      <c r="E38" s="877">
        <v>1</v>
      </c>
      <c r="F38" s="880" t="s">
        <v>599</v>
      </c>
      <c r="G38" s="881"/>
      <c r="H38" s="873"/>
      <c r="I38" s="873"/>
    </row>
    <row r="39" spans="1:9" s="882" customFormat="1" ht="19.5" customHeight="1">
      <c r="A39" s="3329"/>
      <c r="B39" s="332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9" t="s">
        <v>614</v>
      </c>
      <c r="C61" s="813" t="s">
        <v>615</v>
      </c>
      <c r="D61" s="813" t="s">
        <v>616</v>
      </c>
      <c r="E61" s="890">
        <v>0.5</v>
      </c>
      <c r="F61" s="877">
        <v>80</v>
      </c>
    </row>
    <row r="62" spans="1:8" s="873" customFormat="1" ht="24">
      <c r="A62" s="877">
        <v>2</v>
      </c>
      <c r="B62" s="3329"/>
      <c r="C62" s="813" t="s">
        <v>617</v>
      </c>
      <c r="D62" s="813" t="s">
        <v>618</v>
      </c>
      <c r="E62" s="890">
        <v>0.5</v>
      </c>
      <c r="F62" s="877">
        <v>80</v>
      </c>
    </row>
    <row r="63" spans="1:8" s="873" customFormat="1" ht="36">
      <c r="A63" s="877">
        <v>3</v>
      </c>
      <c r="B63" s="3329"/>
      <c r="C63" s="813" t="s">
        <v>619</v>
      </c>
      <c r="D63" s="813" t="s">
        <v>620</v>
      </c>
      <c r="E63" s="890">
        <v>0.5</v>
      </c>
      <c r="F63" s="877">
        <v>80</v>
      </c>
    </row>
    <row r="64" spans="1:8" s="873" customFormat="1" ht="36">
      <c r="A64" s="877">
        <v>4</v>
      </c>
      <c r="B64" s="3329"/>
      <c r="C64" s="813" t="s">
        <v>621</v>
      </c>
      <c r="D64" s="813" t="s">
        <v>622</v>
      </c>
      <c r="E64" s="890">
        <v>0.4</v>
      </c>
      <c r="F64" s="877">
        <v>60</v>
      </c>
    </row>
    <row r="65" spans="1:6" s="873" customFormat="1" ht="36">
      <c r="A65" s="877">
        <v>5</v>
      </c>
      <c r="B65" s="3329"/>
      <c r="C65" s="813" t="s">
        <v>623</v>
      </c>
      <c r="D65" s="813" t="s">
        <v>624</v>
      </c>
      <c r="E65" s="890">
        <v>0.2</v>
      </c>
      <c r="F65" s="877">
        <v>30</v>
      </c>
    </row>
    <row r="66" spans="1:6" s="873" customFormat="1" ht="36">
      <c r="A66" s="877">
        <v>6</v>
      </c>
      <c r="B66" s="3329"/>
      <c r="C66" s="813" t="s">
        <v>625</v>
      </c>
      <c r="D66" s="813" t="s">
        <v>626</v>
      </c>
      <c r="E66" s="890">
        <v>0.3</v>
      </c>
      <c r="F66" s="877">
        <v>50</v>
      </c>
    </row>
    <row r="67" spans="1:6" s="873" customFormat="1" ht="36">
      <c r="A67" s="877">
        <v>7</v>
      </c>
      <c r="B67" s="3329"/>
      <c r="C67" s="813" t="s">
        <v>627</v>
      </c>
      <c r="D67" s="813" t="s">
        <v>628</v>
      </c>
      <c r="E67" s="890">
        <v>0.2</v>
      </c>
      <c r="F67" s="877">
        <v>30</v>
      </c>
    </row>
    <row r="68" spans="1:6" s="873" customFormat="1" ht="36">
      <c r="A68" s="877">
        <v>8</v>
      </c>
      <c r="B68" s="3329"/>
      <c r="C68" s="813" t="s">
        <v>629</v>
      </c>
      <c r="D68" s="813" t="s">
        <v>630</v>
      </c>
      <c r="E68" s="890">
        <v>0.2</v>
      </c>
      <c r="F68" s="877">
        <v>30</v>
      </c>
    </row>
    <row r="69" spans="1:6" s="873" customFormat="1" ht="36">
      <c r="A69" s="877">
        <v>9</v>
      </c>
      <c r="B69" s="3329"/>
      <c r="C69" s="813" t="s">
        <v>631</v>
      </c>
      <c r="D69" s="813" t="s">
        <v>632</v>
      </c>
      <c r="E69" s="890">
        <v>0.2</v>
      </c>
      <c r="F69" s="877">
        <v>30</v>
      </c>
    </row>
    <row r="70" spans="1:6" s="873" customFormat="1" ht="48">
      <c r="A70" s="877">
        <v>10</v>
      </c>
      <c r="B70" s="3329"/>
      <c r="C70" s="813" t="s">
        <v>633</v>
      </c>
      <c r="D70" s="813" t="s">
        <v>634</v>
      </c>
      <c r="E70" s="890">
        <v>0.2</v>
      </c>
      <c r="F70" s="877">
        <v>30</v>
      </c>
    </row>
    <row r="71" spans="1:6" s="873" customFormat="1" ht="48">
      <c r="A71" s="877">
        <v>11</v>
      </c>
      <c r="B71" s="3329"/>
      <c r="C71" s="813" t="s">
        <v>635</v>
      </c>
      <c r="D71" s="813" t="s">
        <v>636</v>
      </c>
      <c r="E71" s="890">
        <v>0.2</v>
      </c>
      <c r="F71" s="877">
        <v>30</v>
      </c>
    </row>
    <row r="72" spans="1:6" s="873" customFormat="1" ht="36">
      <c r="A72" s="877">
        <v>12</v>
      </c>
      <c r="B72" s="3329"/>
      <c r="C72" s="813" t="s">
        <v>637</v>
      </c>
      <c r="D72" s="813" t="s">
        <v>638</v>
      </c>
      <c r="E72" s="890">
        <v>0.5</v>
      </c>
      <c r="F72" s="877">
        <v>80</v>
      </c>
    </row>
    <row r="73" spans="1:6" s="873" customFormat="1" ht="24">
      <c r="A73" s="877">
        <v>13</v>
      </c>
      <c r="B73" s="3329"/>
      <c r="C73" s="813" t="s">
        <v>639</v>
      </c>
      <c r="D73" s="813" t="s">
        <v>640</v>
      </c>
      <c r="E73" s="890">
        <v>0.4</v>
      </c>
      <c r="F73" s="877">
        <v>60</v>
      </c>
    </row>
    <row r="74" spans="1:6" s="873" customFormat="1" ht="24">
      <c r="A74" s="877">
        <v>14</v>
      </c>
      <c r="B74" s="3329"/>
      <c r="C74" s="813" t="s">
        <v>641</v>
      </c>
      <c r="D74" s="813" t="s">
        <v>642</v>
      </c>
      <c r="E74" s="890">
        <v>0.2</v>
      </c>
      <c r="F74" s="877">
        <v>30</v>
      </c>
    </row>
    <row r="75" spans="1:6" s="873" customFormat="1" ht="24">
      <c r="A75" s="877">
        <v>15</v>
      </c>
      <c r="B75" s="3329"/>
      <c r="C75" s="813" t="s">
        <v>643</v>
      </c>
      <c r="D75" s="813" t="s">
        <v>644</v>
      </c>
      <c r="E75" s="890">
        <v>0.2</v>
      </c>
      <c r="F75" s="877">
        <v>30</v>
      </c>
    </row>
    <row r="76" spans="1:6" s="873" customFormat="1" ht="24">
      <c r="A76" s="877">
        <v>16</v>
      </c>
      <c r="B76" s="3329" t="s">
        <v>645</v>
      </c>
      <c r="C76" s="813" t="s">
        <v>646</v>
      </c>
      <c r="D76" s="813" t="s">
        <v>647</v>
      </c>
      <c r="E76" s="890">
        <v>0.5</v>
      </c>
      <c r="F76" s="877">
        <v>80</v>
      </c>
    </row>
    <row r="77" spans="1:6" s="873" customFormat="1" ht="24">
      <c r="A77" s="877">
        <v>17</v>
      </c>
      <c r="B77" s="3329"/>
      <c r="C77" s="813" t="s">
        <v>648</v>
      </c>
      <c r="D77" s="813" t="s">
        <v>649</v>
      </c>
      <c r="E77" s="890">
        <v>0.5</v>
      </c>
      <c r="F77" s="877">
        <v>80</v>
      </c>
    </row>
    <row r="78" spans="1:6" s="873" customFormat="1" ht="24">
      <c r="A78" s="877">
        <v>18</v>
      </c>
      <c r="B78" s="3329"/>
      <c r="C78" s="813" t="s">
        <v>650</v>
      </c>
      <c r="D78" s="813" t="s">
        <v>651</v>
      </c>
      <c r="E78" s="890">
        <v>0.2</v>
      </c>
      <c r="F78" s="877">
        <v>30</v>
      </c>
    </row>
    <row r="79" spans="1:6" s="873" customFormat="1" ht="24">
      <c r="A79" s="877">
        <v>19</v>
      </c>
      <c r="B79" s="3329"/>
      <c r="C79" s="813" t="s">
        <v>652</v>
      </c>
      <c r="D79" s="813" t="s">
        <v>653</v>
      </c>
      <c r="E79" s="890">
        <v>0.5</v>
      </c>
      <c r="F79" s="877">
        <v>80</v>
      </c>
    </row>
    <row r="80" spans="1:6" s="873" customFormat="1" ht="36">
      <c r="A80" s="877">
        <v>20</v>
      </c>
      <c r="B80" s="3329"/>
      <c r="C80" s="813" t="s">
        <v>654</v>
      </c>
      <c r="D80" s="813" t="s">
        <v>655</v>
      </c>
      <c r="E80" s="890">
        <v>0.2</v>
      </c>
      <c r="F80" s="877">
        <v>30</v>
      </c>
    </row>
    <row r="81" spans="1:6" s="873" customFormat="1" ht="36">
      <c r="A81" s="877">
        <v>21</v>
      </c>
      <c r="B81" s="3329"/>
      <c r="C81" s="813" t="s">
        <v>656</v>
      </c>
      <c r="D81" s="813" t="s">
        <v>657</v>
      </c>
      <c r="E81" s="890">
        <v>0.2</v>
      </c>
      <c r="F81" s="877">
        <v>30</v>
      </c>
    </row>
    <row r="82" spans="1:6" s="873" customFormat="1" ht="48">
      <c r="A82" s="877">
        <v>22</v>
      </c>
      <c r="B82" s="3329"/>
      <c r="C82" s="813" t="s">
        <v>658</v>
      </c>
      <c r="D82" s="813" t="s">
        <v>659</v>
      </c>
      <c r="E82" s="890">
        <v>0.2</v>
      </c>
      <c r="F82" s="877">
        <v>30</v>
      </c>
    </row>
    <row r="83" spans="1:6" s="873" customFormat="1" ht="48">
      <c r="A83" s="877">
        <v>23</v>
      </c>
      <c r="B83" s="3329"/>
      <c r="C83" s="813" t="s">
        <v>660</v>
      </c>
      <c r="D83" s="813" t="s">
        <v>661</v>
      </c>
      <c r="E83" s="890">
        <v>0.2</v>
      </c>
      <c r="F83" s="877">
        <v>30</v>
      </c>
    </row>
    <row r="84" spans="1:6" s="873" customFormat="1" ht="36">
      <c r="A84" s="877">
        <v>24</v>
      </c>
      <c r="B84" s="3329"/>
      <c r="C84" s="813" t="s">
        <v>662</v>
      </c>
      <c r="D84" s="813" t="s">
        <v>663</v>
      </c>
      <c r="E84" s="890">
        <v>0.2</v>
      </c>
      <c r="F84" s="877">
        <v>30</v>
      </c>
    </row>
    <row r="85" spans="1:6" s="873" customFormat="1" ht="36">
      <c r="A85" s="877">
        <v>25</v>
      </c>
      <c r="B85" s="3329"/>
      <c r="C85" s="813" t="s">
        <v>664</v>
      </c>
      <c r="D85" s="813" t="s">
        <v>665</v>
      </c>
      <c r="E85" s="890">
        <v>0.5</v>
      </c>
      <c r="F85" s="877">
        <v>80</v>
      </c>
    </row>
    <row r="86" spans="1:6" s="873" customFormat="1" ht="36">
      <c r="A86" s="877">
        <v>26</v>
      </c>
      <c r="B86" s="3329"/>
      <c r="C86" s="813" t="s">
        <v>666</v>
      </c>
      <c r="D86" s="813" t="s">
        <v>667</v>
      </c>
      <c r="E86" s="890">
        <v>0.2</v>
      </c>
      <c r="F86" s="877">
        <v>30</v>
      </c>
    </row>
    <row r="87" spans="1:6" s="873" customFormat="1" ht="36">
      <c r="A87" s="877">
        <v>27</v>
      </c>
      <c r="B87" s="3329"/>
      <c r="C87" s="813" t="s">
        <v>668</v>
      </c>
      <c r="D87" s="813" t="s">
        <v>669</v>
      </c>
      <c r="E87" s="890">
        <v>0.2</v>
      </c>
      <c r="F87" s="877">
        <v>30</v>
      </c>
    </row>
    <row r="88" spans="1:6" s="873" customFormat="1" ht="36">
      <c r="A88" s="877">
        <v>28</v>
      </c>
      <c r="B88" s="3329"/>
      <c r="C88" s="813" t="s">
        <v>670</v>
      </c>
      <c r="D88" s="813" t="s">
        <v>671</v>
      </c>
      <c r="E88" s="890">
        <v>0.2</v>
      </c>
      <c r="F88" s="877">
        <v>30</v>
      </c>
    </row>
    <row r="89" spans="1:6" s="873" customFormat="1" ht="24">
      <c r="A89" s="877">
        <v>29</v>
      </c>
      <c r="B89" s="3329"/>
      <c r="C89" s="813" t="s">
        <v>672</v>
      </c>
      <c r="D89" s="813" t="s">
        <v>673</v>
      </c>
      <c r="E89" s="890">
        <v>0.2</v>
      </c>
      <c r="F89" s="877">
        <v>30</v>
      </c>
    </row>
    <row r="90" spans="1:6" s="873" customFormat="1" ht="24">
      <c r="A90" s="877">
        <v>30</v>
      </c>
      <c r="B90" s="3329"/>
      <c r="C90" s="813" t="s">
        <v>674</v>
      </c>
      <c r="D90" s="813" t="s">
        <v>675</v>
      </c>
      <c r="E90" s="890">
        <v>0.2</v>
      </c>
      <c r="F90" s="877">
        <v>30</v>
      </c>
    </row>
    <row r="91" spans="1:6" s="873" customFormat="1" ht="36">
      <c r="A91" s="877">
        <v>31</v>
      </c>
      <c r="B91" s="3329"/>
      <c r="C91" s="813" t="s">
        <v>676</v>
      </c>
      <c r="D91" s="813" t="s">
        <v>677</v>
      </c>
      <c r="E91" s="890">
        <v>0.2</v>
      </c>
      <c r="F91" s="877">
        <v>30</v>
      </c>
    </row>
    <row r="92" spans="1:6" s="873" customFormat="1" ht="24">
      <c r="A92" s="877">
        <v>32</v>
      </c>
      <c r="B92" s="3329" t="s">
        <v>678</v>
      </c>
      <c r="C92" s="877" t="s">
        <v>679</v>
      </c>
      <c r="D92" s="813" t="s">
        <v>680</v>
      </c>
      <c r="E92" s="890">
        <v>0.2</v>
      </c>
      <c r="F92" s="877">
        <v>30</v>
      </c>
    </row>
    <row r="93" spans="1:6" s="873" customFormat="1" ht="36">
      <c r="A93" s="877">
        <v>33</v>
      </c>
      <c r="B93" s="3329"/>
      <c r="C93" s="877" t="s">
        <v>681</v>
      </c>
      <c r="D93" s="813" t="s">
        <v>682</v>
      </c>
      <c r="E93" s="890">
        <v>0.2</v>
      </c>
      <c r="F93" s="877">
        <v>30</v>
      </c>
    </row>
    <row r="94" spans="1:6" s="873" customFormat="1" ht="48">
      <c r="A94" s="877">
        <v>34</v>
      </c>
      <c r="B94" s="3329"/>
      <c r="C94" s="877" t="s">
        <v>683</v>
      </c>
      <c r="D94" s="813" t="s">
        <v>684</v>
      </c>
      <c r="E94" s="890">
        <v>0.2</v>
      </c>
      <c r="F94" s="877">
        <v>30</v>
      </c>
    </row>
    <row r="95" spans="1:6" s="873" customFormat="1" ht="36">
      <c r="A95" s="877">
        <v>35</v>
      </c>
      <c r="B95" s="3329"/>
      <c r="C95" s="877" t="s">
        <v>685</v>
      </c>
      <c r="D95" s="813" t="s">
        <v>686</v>
      </c>
      <c r="E95" s="890">
        <v>0.2</v>
      </c>
      <c r="F95" s="877">
        <v>30</v>
      </c>
    </row>
    <row r="96" spans="1:6" s="873" customFormat="1" ht="48">
      <c r="A96" s="877">
        <v>36</v>
      </c>
      <c r="B96" s="3329"/>
      <c r="C96" s="813" t="s">
        <v>687</v>
      </c>
      <c r="D96" s="813" t="s">
        <v>688</v>
      </c>
      <c r="E96" s="890">
        <v>0.2</v>
      </c>
      <c r="F96" s="877">
        <v>30</v>
      </c>
    </row>
    <row r="97" spans="1:6" s="873" customFormat="1" ht="36">
      <c r="A97" s="877">
        <v>37</v>
      </c>
      <c r="B97" s="3329"/>
      <c r="C97" s="877" t="s">
        <v>689</v>
      </c>
      <c r="D97" s="813" t="s">
        <v>690</v>
      </c>
      <c r="E97" s="890">
        <v>0.2</v>
      </c>
      <c r="F97" s="877">
        <v>30</v>
      </c>
    </row>
    <row r="98" spans="1:6" s="873" customFormat="1" ht="36">
      <c r="A98" s="877">
        <v>38</v>
      </c>
      <c r="B98" s="3329"/>
      <c r="C98" s="877" t="s">
        <v>691</v>
      </c>
      <c r="D98" s="813" t="s">
        <v>692</v>
      </c>
      <c r="E98" s="890">
        <v>0.2</v>
      </c>
      <c r="F98" s="877">
        <v>30</v>
      </c>
    </row>
    <row r="99" spans="1:6" s="873" customFormat="1" ht="36">
      <c r="A99" s="877">
        <v>39</v>
      </c>
      <c r="B99" s="3329" t="s">
        <v>693</v>
      </c>
      <c r="C99" s="877" t="s">
        <v>694</v>
      </c>
      <c r="D99" s="813" t="s">
        <v>695</v>
      </c>
      <c r="E99" s="890">
        <v>0.3</v>
      </c>
      <c r="F99" s="877">
        <v>50</v>
      </c>
    </row>
    <row r="100" spans="1:6" s="873" customFormat="1" ht="24">
      <c r="A100" s="877">
        <v>40</v>
      </c>
      <c r="B100" s="3329"/>
      <c r="C100" s="877" t="s">
        <v>696</v>
      </c>
      <c r="D100" s="813" t="s">
        <v>697</v>
      </c>
      <c r="E100" s="890">
        <v>0.2</v>
      </c>
      <c r="F100" s="877">
        <v>30</v>
      </c>
    </row>
    <row r="101" spans="1:6" s="873" customFormat="1" ht="36">
      <c r="A101" s="877">
        <v>41</v>
      </c>
      <c r="B101" s="332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9" t="s">
        <v>708</v>
      </c>
      <c r="C105" s="877" t="s">
        <v>709</v>
      </c>
      <c r="D105" s="813" t="s">
        <v>710</v>
      </c>
      <c r="E105" s="890">
        <v>0.2</v>
      </c>
      <c r="F105" s="877">
        <v>30</v>
      </c>
    </row>
    <row r="106" spans="1:6" s="873" customFormat="1" ht="36">
      <c r="A106" s="877">
        <v>46</v>
      </c>
      <c r="B106" s="3329"/>
      <c r="C106" s="877" t="s">
        <v>711</v>
      </c>
      <c r="D106" s="813" t="s">
        <v>712</v>
      </c>
      <c r="E106" s="890">
        <v>0.2</v>
      </c>
      <c r="F106" s="877">
        <v>30</v>
      </c>
    </row>
    <row r="107" spans="1:6" s="873" customFormat="1" ht="36">
      <c r="A107" s="877">
        <v>47</v>
      </c>
      <c r="B107" s="3329" t="s">
        <v>713</v>
      </c>
      <c r="C107" s="877" t="s">
        <v>714</v>
      </c>
      <c r="D107" s="813" t="s">
        <v>715</v>
      </c>
      <c r="E107" s="890">
        <v>0.3</v>
      </c>
      <c r="F107" s="877">
        <v>50</v>
      </c>
    </row>
    <row r="108" spans="1:6" s="873" customFormat="1" ht="36">
      <c r="A108" s="877">
        <v>48</v>
      </c>
      <c r="B108" s="332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9" t="s">
        <v>724</v>
      </c>
      <c r="C111" s="877" t="s">
        <v>725</v>
      </c>
      <c r="D111" s="813" t="s">
        <v>726</v>
      </c>
      <c r="E111" s="890">
        <v>0.2</v>
      </c>
      <c r="F111" s="877">
        <v>30</v>
      </c>
    </row>
    <row r="112" spans="1:6" s="873" customFormat="1" ht="24">
      <c r="A112" s="877">
        <v>52</v>
      </c>
      <c r="B112" s="3329"/>
      <c r="C112" s="877" t="s">
        <v>727</v>
      </c>
      <c r="D112" s="813" t="s">
        <v>728</v>
      </c>
      <c r="E112" s="890">
        <v>0.2</v>
      </c>
      <c r="F112" s="877">
        <v>30</v>
      </c>
    </row>
    <row r="113" spans="1:6" s="873" customFormat="1" ht="24">
      <c r="A113" s="877">
        <v>53</v>
      </c>
      <c r="B113" s="332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9" t="s">
        <v>737</v>
      </c>
      <c r="C116" s="877" t="s">
        <v>738</v>
      </c>
      <c r="D116" s="813" t="s">
        <v>739</v>
      </c>
      <c r="E116" s="890">
        <v>0.2</v>
      </c>
      <c r="F116" s="877">
        <v>30</v>
      </c>
    </row>
    <row r="117" spans="1:6" ht="36">
      <c r="A117" s="877">
        <v>57</v>
      </c>
      <c r="B117" s="332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1.1453</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7" t="s">
        <v>2996</v>
      </c>
      <c r="B2" s="2908">
        <f ca="1">SUMIF(B6:B13,"&lt;&gt;#ref!",B6:B13)</f>
        <v>3693</v>
      </c>
      <c r="C2" s="2907" t="s">
        <v>2997</v>
      </c>
      <c r="D2" s="2907" t="s">
        <v>2998</v>
      </c>
      <c r="E2" s="2908">
        <f ca="1">SUMIF(E6:E13,"&lt;&gt;#ref!",E6:E13)</f>
        <v>9955.09</v>
      </c>
    </row>
    <row r="3" spans="1:5" ht="15.75">
      <c r="A3" s="2907" t="s">
        <v>2999</v>
      </c>
      <c r="B3" s="2908">
        <f ca="1">ROUND(B2*10000/E2,0)</f>
        <v>3710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f ca="1">SUMIF(INDIRECT("'"&amp;A6&amp;"'"&amp;"!A:A"),"总价",INDIRECT("'"&amp;A6&amp;"'"&amp;"!B:B"))</f>
        <v>3693</v>
      </c>
      <c r="C6" s="2907" t="s">
        <v>2997</v>
      </c>
      <c r="D6" s="2909"/>
      <c r="E6" s="2573">
        <f ca="1">SUMIF(INDIRECT("'"&amp;A6&amp;"'"&amp;"!C:C"),"建筑面积",INDIRECT("'"&amp;A6&amp;"'"&amp;"!D:D"))</f>
        <v>9955.09</v>
      </c>
    </row>
    <row r="7" spans="1:5" ht="15.75">
      <c r="A7" s="2912"/>
      <c r="B7" s="2908" t="e">
        <f ca="1">SUMIF(INDIRECT("'"&amp;A7&amp;"'"&amp;"!A:A"),"总价",INDIRECT("'"&amp;A7&amp;"'"&amp;"!B:B"))</f>
        <v>#REF!</v>
      </c>
      <c r="C7" s="2907" t="s">
        <v>2997</v>
      </c>
      <c r="D7" s="2909"/>
      <c r="E7" s="2573"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3" t="e">
        <f t="shared" ca="1" si="0"/>
        <v>#REF!</v>
      </c>
    </row>
    <row r="9" spans="1:5" ht="15.75">
      <c r="A9" s="2912"/>
      <c r="B9" s="2908" t="e">
        <f t="shared" ca="1" si="1"/>
        <v>#REF!</v>
      </c>
      <c r="C9" s="2907" t="s">
        <v>2997</v>
      </c>
      <c r="D9" s="2909"/>
      <c r="E9" s="2573" t="e">
        <f t="shared" ca="1" si="0"/>
        <v>#REF!</v>
      </c>
    </row>
    <row r="10" spans="1:5" ht="15.75">
      <c r="A10" s="2912"/>
      <c r="B10" s="2908" t="e">
        <f t="shared" ca="1" si="1"/>
        <v>#REF!</v>
      </c>
      <c r="C10" s="2907" t="s">
        <v>2997</v>
      </c>
      <c r="D10" s="2909"/>
      <c r="E10" s="2573" t="e">
        <f t="shared" ca="1" si="0"/>
        <v>#REF!</v>
      </c>
    </row>
    <row r="11" spans="1:5" ht="15.75">
      <c r="A11" s="2912"/>
      <c r="B11" s="2908" t="e">
        <f t="shared" ca="1" si="1"/>
        <v>#REF!</v>
      </c>
      <c r="C11" s="2907" t="s">
        <v>2997</v>
      </c>
      <c r="D11" s="2909"/>
      <c r="E11" s="2573" t="e">
        <f t="shared" ca="1" si="0"/>
        <v>#REF!</v>
      </c>
    </row>
    <row r="12" spans="1:5" ht="15.75">
      <c r="A12" s="2912"/>
      <c r="B12" s="2908" t="e">
        <f t="shared" ca="1" si="1"/>
        <v>#REF!</v>
      </c>
      <c r="C12" s="2907" t="s">
        <v>2997</v>
      </c>
      <c r="D12" s="2909"/>
      <c r="E12" s="2573" t="e">
        <f t="shared" ca="1" si="0"/>
        <v>#REF!</v>
      </c>
    </row>
    <row r="13" spans="1:5" ht="15.75">
      <c r="A13" s="2912"/>
      <c r="B13" s="2908" t="e">
        <f t="shared" ca="1" si="1"/>
        <v>#REF!</v>
      </c>
      <c r="C13" s="2907" t="s">
        <v>2997</v>
      </c>
      <c r="D13" s="2909"/>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5" t="s">
        <v>1150</v>
      </c>
      <c r="C1" s="3335"/>
      <c r="D1" s="3335"/>
      <c r="E1" s="3335"/>
      <c r="F1" s="3335"/>
      <c r="G1" s="3334" t="s">
        <v>1151</v>
      </c>
      <c r="H1" s="3334"/>
      <c r="I1" s="3334"/>
      <c r="J1" s="3334"/>
      <c r="K1" s="3334"/>
      <c r="L1" s="3334"/>
      <c r="N1" s="3334" t="s">
        <v>1152</v>
      </c>
      <c r="O1" s="3334"/>
      <c r="P1" s="3334"/>
      <c r="Q1" s="3334"/>
      <c r="R1" s="1444"/>
      <c r="S1" s="3334" t="s">
        <v>1153</v>
      </c>
      <c r="T1" s="3334"/>
      <c r="U1" s="3334"/>
      <c r="V1" s="3334"/>
      <c r="X1" s="3333" t="s">
        <v>1154</v>
      </c>
      <c r="Y1" s="3334"/>
      <c r="Z1" s="3334"/>
      <c r="AA1" s="3334"/>
      <c r="AB1" s="3334"/>
      <c r="AD1" s="3333" t="s">
        <v>1155</v>
      </c>
      <c r="AE1" s="3334"/>
      <c r="AF1" s="3334"/>
      <c r="AG1" s="3334"/>
      <c r="AH1" s="333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6" customFormat="1" ht="14.25">
      <c r="A3" s="2935" t="s">
        <v>3039</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1" customFormat="1" ht="14.25">
      <c r="B4" s="1452"/>
      <c r="C4" s="1452"/>
      <c r="D4" s="1453"/>
      <c r="E4" s="1453"/>
      <c r="F4" s="1452"/>
      <c r="G4" s="1454"/>
      <c r="H4" s="1455"/>
      <c r="I4" s="2920"/>
      <c r="J4" s="2920"/>
      <c r="K4" s="2920"/>
      <c r="L4" s="2920"/>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6">
        <v>2018</v>
      </c>
      <c r="H5" s="1728">
        <v>2</v>
      </c>
      <c r="I5" s="2921">
        <v>0</v>
      </c>
      <c r="J5" s="2921">
        <v>0</v>
      </c>
      <c r="K5" s="2921">
        <v>0</v>
      </c>
      <c r="L5" s="2921">
        <v>0</v>
      </c>
      <c r="N5" s="1465">
        <f t="shared" ref="N5" si="7">I5/100</f>
        <v>0</v>
      </c>
      <c r="O5" s="1465">
        <f t="shared" ref="O5" si="8">J5/100</f>
        <v>0</v>
      </c>
      <c r="P5" s="1465">
        <f t="shared" ref="P5" si="9">K5/100</f>
        <v>0</v>
      </c>
      <c r="Q5" s="1465">
        <f t="shared" ref="Q5" si="10">L5/100</f>
        <v>0</v>
      </c>
      <c r="R5" s="1730"/>
      <c r="S5" s="1731"/>
      <c r="T5" s="1730"/>
      <c r="U5" s="1730"/>
      <c r="V5" s="1730"/>
      <c r="W5" s="2925"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3038</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37">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59" t="s">
        <v>3035</v>
      </c>
      <c r="B7" s="1467">
        <v>439</v>
      </c>
      <c r="C7" s="1467">
        <v>327</v>
      </c>
      <c r="D7" s="1467">
        <f>C7</f>
        <v>327</v>
      </c>
      <c r="E7" s="1467">
        <v>627</v>
      </c>
      <c r="F7" s="1468">
        <v>283</v>
      </c>
      <c r="G7" s="2923">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3036</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19"/>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18"/>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1"/>
      <c r="AD9" s="1787">
        <f>ROUND(AVERAGE(I9:I$22)/100,4)</f>
        <v>2.46E-2</v>
      </c>
      <c r="AE9" s="1787">
        <f>ROUND(AVERAGE(J9:J$22)/100,4)</f>
        <v>1.6E-2</v>
      </c>
      <c r="AF9" s="1787">
        <f t="shared" si="1"/>
        <v>1.6E-2</v>
      </c>
      <c r="AG9" s="1787">
        <f>ROUND(AVERAGE(K9:K$22)/100,4)</f>
        <v>2.75E-2</v>
      </c>
      <c r="AH9" s="1787">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19"/>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59" t="s">
        <v>154</v>
      </c>
      <c r="B11" s="1467">
        <v>392</v>
      </c>
      <c r="C11" s="1467">
        <v>302</v>
      </c>
      <c r="D11" s="1467">
        <f>C11</f>
        <v>302</v>
      </c>
      <c r="E11" s="1467">
        <v>553</v>
      </c>
      <c r="F11" s="1468">
        <v>266</v>
      </c>
      <c r="G11" s="3336">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331"/>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331"/>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332"/>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330">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331"/>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331"/>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332"/>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330">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331"/>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331"/>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332"/>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59" t="s">
        <v>1163</v>
      </c>
      <c r="B23" s="1467">
        <v>299</v>
      </c>
      <c r="C23" s="1467">
        <v>252</v>
      </c>
      <c r="D23" s="1467">
        <f t="shared" si="44"/>
        <v>252</v>
      </c>
      <c r="E23" s="1467">
        <v>409</v>
      </c>
      <c r="F23" s="1468">
        <v>227</v>
      </c>
      <c r="G23" s="3337">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338"/>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338"/>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339"/>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330">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331"/>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331"/>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332"/>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330">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331">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331">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332">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330">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331">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331">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332">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330">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331">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331">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332">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330">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331">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331">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332">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330">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331">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331">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332">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330">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331">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331">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332">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330">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331">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331">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332">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330">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331">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331">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332">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330">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331">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331">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332">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330">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331">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331">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332">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2" t="s">
        <v>3006</v>
      </c>
      <c r="C1" s="3341" t="s">
        <v>3007</v>
      </c>
      <c r="D1" s="3342"/>
      <c r="E1" s="3342"/>
      <c r="F1" s="3342"/>
      <c r="G1" s="3342"/>
      <c r="H1" s="3342"/>
      <c r="I1" s="3342"/>
      <c r="J1" s="3342"/>
      <c r="K1" s="3342"/>
      <c r="L1" s="3342"/>
      <c r="M1" s="3342"/>
      <c r="N1" s="3342"/>
      <c r="O1" s="3342"/>
      <c r="P1" s="3342"/>
      <c r="Q1" s="3342"/>
      <c r="R1" s="3342"/>
      <c r="S1" s="3343"/>
      <c r="T1" s="1202" t="s">
        <v>3008</v>
      </c>
    </row>
    <row r="2" spans="1:45" s="706" customFormat="1">
      <c r="A2" s="1203"/>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3010</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3011</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3012</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3" t="s">
        <v>3016</v>
      </c>
      <c r="B17" s="2914" t="s">
        <v>3017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5" t="s">
        <v>3018</v>
      </c>
      <c r="E19" s="1790"/>
      <c r="F19" s="1790"/>
      <c r="G19" s="1790"/>
      <c r="H19" s="1278"/>
      <c r="I19" s="167"/>
      <c r="J19" s="167"/>
      <c r="K19" s="167"/>
      <c r="L19" s="167"/>
      <c r="M19" s="167"/>
      <c r="N19" s="167"/>
      <c r="O19" s="167"/>
      <c r="P19" s="167"/>
      <c r="Q19" s="167"/>
      <c r="R19" s="787"/>
      <c r="S19" s="137"/>
    </row>
    <row r="20" spans="1:45" ht="16.5" thickBot="1">
      <c r="A20" s="714" t="s">
        <v>3019</v>
      </c>
      <c r="B20" s="337" t="e">
        <f ca="1">IF(D20="——",S22,S22-F20)</f>
        <v>#REF!</v>
      </c>
      <c r="C20" s="167"/>
      <c r="D20" s="2916" t="s">
        <v>3020</v>
      </c>
      <c r="E20" s="1791"/>
      <c r="F20" s="1202" t="e">
        <f ca="1">SUMIF(INDIRECT("'"&amp;H20&amp;"'"&amp;"!A:A"),"承租人权益价值",INDIRECT("'"&amp;H20&amp;"'"&amp;"!c:c"))</f>
        <v>#REF!</v>
      </c>
      <c r="G20" s="1202" t="s">
        <v>3021</v>
      </c>
      <c r="H20" s="2917"/>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173" t="s">
        <v>33</v>
      </c>
      <c r="D22" s="3174"/>
      <c r="E22" s="3174"/>
      <c r="F22" s="3174"/>
      <c r="G22" s="3174"/>
      <c r="H22" s="3174"/>
      <c r="I22" s="3174"/>
      <c r="J22" s="3174"/>
      <c r="K22" s="3174"/>
      <c r="L22" s="3174"/>
      <c r="M22" s="3174"/>
      <c r="N22" s="3174"/>
      <c r="O22" s="3174"/>
      <c r="P22" s="3174"/>
      <c r="Q22" s="3340"/>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48417</v>
      </c>
      <c r="C2" s="2" t="s">
        <v>133</v>
      </c>
      <c r="D2" s="242"/>
      <c r="E2" s="242"/>
      <c r="F2" s="242"/>
      <c r="G2" s="242"/>
    </row>
    <row r="3" spans="1:7" s="243" customFormat="1" ht="18" customHeight="1" thickBot="1">
      <c r="A3" s="246" t="s">
        <v>85</v>
      </c>
      <c r="B3" s="247">
        <f ca="1">ROUND(B2*10000/'数据-汇总表'!E3,0)</f>
        <v>14237</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160</v>
      </c>
      <c r="F9" s="264"/>
      <c r="G9" s="269"/>
    </row>
    <row r="10" spans="1:7" s="257" customFormat="1" ht="13.5" customHeight="1">
      <c r="A10" s="948" t="s">
        <v>801</v>
      </c>
      <c r="B10" s="267" t="s">
        <v>94</v>
      </c>
      <c r="C10" s="268">
        <f>ROUND(D10*E10/10000,0)</f>
        <v>680</v>
      </c>
      <c r="D10" s="1030">
        <f>'数据-汇总表'!E6</f>
        <v>34007.5</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680</v>
      </c>
      <c r="D19" s="1034">
        <f>'数据-汇总表'!E3</f>
        <v>34007.5</v>
      </c>
      <c r="E19" s="254">
        <f>'数据-取费表'!B31</f>
        <v>200</v>
      </c>
      <c r="F19" s="274"/>
      <c r="G19" s="1" t="s">
        <v>1074</v>
      </c>
    </row>
    <row r="20" spans="1:7" s="257" customFormat="1" ht="13.5" customHeight="1">
      <c r="A20" s="946" t="s">
        <v>1057</v>
      </c>
      <c r="B20" s="253" t="s">
        <v>104</v>
      </c>
      <c r="C20" s="275">
        <f>ROUND((C5+C19)*F20,0)</f>
        <v>639</v>
      </c>
      <c r="D20" s="275"/>
      <c r="E20" s="275"/>
      <c r="F20" s="276">
        <f>'数据-取费表'!B37</f>
        <v>0.03</v>
      </c>
      <c r="G20" s="1287" t="s">
        <v>1068</v>
      </c>
    </row>
    <row r="21" spans="1:7" s="257" customFormat="1" ht="13.5" customHeight="1">
      <c r="A21" s="946" t="s">
        <v>1059</v>
      </c>
      <c r="B21" s="253" t="s">
        <v>105</v>
      </c>
      <c r="C21" s="278">
        <f>F21</f>
        <v>0.03</v>
      </c>
      <c r="D21" s="279" t="s">
        <v>126</v>
      </c>
      <c r="E21" s="275"/>
      <c r="F21" s="276">
        <f>'数据-取费表'!B38</f>
        <v>0.03</v>
      </c>
      <c r="G21" s="277" t="s">
        <v>106</v>
      </c>
    </row>
    <row r="22" spans="1:7" s="257" customFormat="1" ht="13.5" customHeight="1">
      <c r="A22" s="946" t="s">
        <v>786</v>
      </c>
      <c r="B22" s="253" t="s">
        <v>107</v>
      </c>
      <c r="C22" s="1352">
        <f ca="1">ROUND(SUM(C23:C25),0)</f>
        <v>2100</v>
      </c>
      <c r="D22" s="278">
        <f ca="1">C26</f>
        <v>1.4E-3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66</v>
      </c>
      <c r="D24" s="281"/>
      <c r="E24" s="281"/>
      <c r="F24" s="282"/>
      <c r="G24" s="283" t="s">
        <v>109</v>
      </c>
    </row>
    <row r="25" spans="1:7" s="257" customFormat="1" ht="24">
      <c r="A25" s="949" t="s">
        <v>793</v>
      </c>
      <c r="B25" s="258" t="s">
        <v>1058</v>
      </c>
      <c r="C25" s="1353">
        <f ca="1">ROUND(IF('数据-取费表'!B22&lt;=1,C20*F22*'数据-取费表'!B23/2,C20*(POWER((1+F22),'数据-取费表'!B23/2)-1)),0)</f>
        <v>30</v>
      </c>
      <c r="D25" s="281"/>
      <c r="E25" s="284"/>
      <c r="F25" s="282"/>
      <c r="G25" s="285" t="s">
        <v>110</v>
      </c>
    </row>
    <row r="26" spans="1:7" s="257" customFormat="1">
      <c r="A26" s="949" t="s">
        <v>795</v>
      </c>
      <c r="B26" s="258" t="s">
        <v>1060</v>
      </c>
      <c r="C26" s="281">
        <f ca="1">ROUND(IF('数据-取费表'!B22&lt;=1,F21*F22*'数据-取费表'!B23/2,F21*(POWER((1+F22),'数据-取费表'!B23/2)-1)),4)</f>
        <v>1.4E-3</v>
      </c>
      <c r="D26" s="281"/>
      <c r="E26" s="284"/>
      <c r="F26" s="282"/>
      <c r="G26" s="286"/>
    </row>
    <row r="27" spans="1:7" s="257" customFormat="1" ht="24.75">
      <c r="A27" s="946" t="s">
        <v>787</v>
      </c>
      <c r="B27" s="287" t="s">
        <v>112</v>
      </c>
      <c r="C27" s="288">
        <f>C28</f>
        <v>5263</v>
      </c>
      <c r="D27" s="278">
        <f>C29</f>
        <v>7.1999999999999998E-3</v>
      </c>
      <c r="E27" s="279" t="s">
        <v>126</v>
      </c>
      <c r="F27" s="289">
        <f>'数据-取费表'!Q16</f>
        <v>0.24</v>
      </c>
      <c r="G27" s="290" t="s">
        <v>1069</v>
      </c>
    </row>
    <row r="28" spans="1:7" s="257" customFormat="1" ht="13.5" customHeight="1">
      <c r="A28" s="949" t="s">
        <v>794</v>
      </c>
      <c r="B28" s="291" t="s">
        <v>1062</v>
      </c>
      <c r="C28" s="292">
        <f>ROUND((C5+C19+C20)*F27*'数据-取费表'!B21/'数据-取费表'!B20,0)</f>
        <v>5263</v>
      </c>
      <c r="D28" s="278"/>
      <c r="E28" s="279"/>
      <c r="F28" s="289"/>
      <c r="G28" s="290"/>
    </row>
    <row r="29" spans="1:7" s="257" customFormat="1" ht="13.5" customHeight="1">
      <c r="A29" s="949" t="s">
        <v>792</v>
      </c>
      <c r="B29" s="291" t="s">
        <v>1063</v>
      </c>
      <c r="C29" s="281">
        <f>ROUND(C21*F27*'数据-取费表'!B21/'数据-取费表'!B20,4)</f>
        <v>7.1999999999999998E-3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32258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11647</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10495</v>
      </c>
      <c r="D34" s="260"/>
      <c r="E34" s="263"/>
      <c r="F34" s="300">
        <f>IF('数据-取费表'!B24=0,1,'数据-取费表'!N16)</f>
        <v>1</v>
      </c>
      <c r="G34" s="262" t="s">
        <v>116</v>
      </c>
    </row>
    <row r="35" spans="1:7" ht="13.5" customHeight="1">
      <c r="A35" s="949" t="s">
        <v>796</v>
      </c>
      <c r="B35" s="258" t="s">
        <v>60</v>
      </c>
      <c r="C35" s="263">
        <f>ROUND(C34*F35,0)</f>
        <v>315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680</v>
      </c>
      <c r="D37" s="260">
        <f>'数据-汇总表'!E3</f>
        <v>34007.5</v>
      </c>
      <c r="E37" s="292">
        <f>'数据-取费表'!B35</f>
        <v>200</v>
      </c>
      <c r="F37" s="302"/>
      <c r="G37" s="304" t="s">
        <v>119</v>
      </c>
    </row>
    <row r="38" spans="1:7" ht="13.5" customHeight="1">
      <c r="A38" s="949" t="s">
        <v>799</v>
      </c>
      <c r="B38" s="258" t="s">
        <v>63</v>
      </c>
      <c r="C38" s="263">
        <f>ROUND(C34*F38,0)</f>
        <v>157</v>
      </c>
      <c r="D38" s="263"/>
      <c r="E38" s="263"/>
      <c r="F38" s="302">
        <f>'数据-取费表'!B36</f>
        <v>1.4999999999999999E-2</v>
      </c>
      <c r="G38" s="262" t="s">
        <v>117</v>
      </c>
    </row>
    <row r="39" spans="1:7" s="257" customFormat="1" ht="13.5" customHeight="1">
      <c r="A39" s="946" t="s">
        <v>783</v>
      </c>
      <c r="B39" s="253" t="s">
        <v>104</v>
      </c>
      <c r="C39" s="275">
        <f>ROUND(C33*F20,0)</f>
        <v>349</v>
      </c>
      <c r="D39" s="275"/>
      <c r="E39" s="275"/>
      <c r="F39" s="276"/>
      <c r="G39" s="1287" t="s">
        <v>1071</v>
      </c>
    </row>
    <row r="40" spans="1:7" s="257" customFormat="1" ht="13.5" customHeight="1">
      <c r="A40" s="946" t="s">
        <v>784</v>
      </c>
      <c r="B40" s="253" t="s">
        <v>105</v>
      </c>
      <c r="C40" s="305">
        <f>F21</f>
        <v>0.03</v>
      </c>
      <c r="D40" s="279" t="s">
        <v>129</v>
      </c>
      <c r="E40" s="275"/>
      <c r="F40" s="276"/>
      <c r="G40" s="277" t="s">
        <v>120</v>
      </c>
    </row>
    <row r="41" spans="1:7" s="257" customFormat="1" ht="13.5" customHeight="1">
      <c r="A41" s="946" t="s">
        <v>785</v>
      </c>
      <c r="B41" s="253" t="s">
        <v>107</v>
      </c>
      <c r="C41" s="275">
        <f ca="1">ROUND(SUM(C42:C43),0)</f>
        <v>570</v>
      </c>
      <c r="D41" s="278">
        <f ca="1">C44</f>
        <v>1.4E-3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553</v>
      </c>
      <c r="D42" s="281"/>
      <c r="E42" s="281"/>
      <c r="F42" s="282"/>
      <c r="G42" s="3262" t="s">
        <v>121</v>
      </c>
    </row>
    <row r="43" spans="1:7" ht="13.5" customHeight="1">
      <c r="A43" s="949" t="s">
        <v>792</v>
      </c>
      <c r="B43" s="258" t="s">
        <v>1064</v>
      </c>
      <c r="C43" s="281">
        <f ca="1">ROUND(IF('数据-取费表'!B22&lt;=1,C39*F22*'数据-取费表'!B21/2,C39*(POWER((1+F22),'数据-取费表'!B21/2)-1)),0)</f>
        <v>17</v>
      </c>
      <c r="D43" s="281"/>
      <c r="E43" s="281"/>
      <c r="F43" s="282"/>
      <c r="G43" s="3263"/>
    </row>
    <row r="44" spans="1:7" ht="13.5" customHeight="1">
      <c r="A44" s="949" t="s">
        <v>793</v>
      </c>
      <c r="B44" s="258" t="s">
        <v>1066</v>
      </c>
      <c r="C44" s="281">
        <f ca="1">ROUND(IF('数据-取费表'!B22&lt;=1,C40*F22*'数据-取费表'!B21/2,C40*(POWER((1+F22),'数据-取费表'!B21/2)-1)),4)</f>
        <v>1.4E-3</v>
      </c>
      <c r="D44" s="281"/>
      <c r="E44" s="281"/>
      <c r="F44" s="282"/>
      <c r="G44" s="3264"/>
    </row>
    <row r="45" spans="1:7" s="257" customFormat="1" ht="13.5" customHeight="1">
      <c r="A45" s="946" t="s">
        <v>786</v>
      </c>
      <c r="B45" s="287" t="s">
        <v>112</v>
      </c>
      <c r="C45" s="288">
        <f>C46</f>
        <v>2879</v>
      </c>
      <c r="D45" s="278">
        <f>C47</f>
        <v>7.1999999999999998E-3</v>
      </c>
      <c r="E45" s="279" t="s">
        <v>129</v>
      </c>
      <c r="F45" s="289"/>
      <c r="G45" s="290" t="s">
        <v>1072</v>
      </c>
    </row>
    <row r="46" spans="1:7" s="257" customFormat="1" ht="13.5" customHeight="1">
      <c r="A46" s="949" t="s">
        <v>794</v>
      </c>
      <c r="B46" s="291" t="s">
        <v>1065</v>
      </c>
      <c r="C46" s="292">
        <f>ROUND((C33+C39)*F27,0)</f>
        <v>2879</v>
      </c>
      <c r="D46" s="306"/>
      <c r="E46" s="279"/>
      <c r="F46" s="289"/>
      <c r="G46" s="290"/>
    </row>
    <row r="47" spans="1:7" s="257" customFormat="1" ht="13.5" customHeight="1">
      <c r="A47" s="949" t="s">
        <v>792</v>
      </c>
      <c r="B47" s="291" t="s">
        <v>1067</v>
      </c>
      <c r="C47" s="281">
        <f>ROUND(C40*F27,4)</f>
        <v>7.1999999999999998E-3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17009</v>
      </c>
      <c r="D49" s="275"/>
      <c r="E49" s="275"/>
      <c r="F49" s="307"/>
      <c r="G49" s="277" t="s">
        <v>1073</v>
      </c>
    </row>
    <row r="50" spans="1:7" s="301" customFormat="1" ht="24">
      <c r="A50" s="946" t="s">
        <v>789</v>
      </c>
      <c r="B50" s="253" t="s">
        <v>124</v>
      </c>
      <c r="C50" s="275"/>
      <c r="D50" s="275"/>
      <c r="E50" s="275"/>
      <c r="F50" s="307">
        <f>IF('数据-取费表'!B24=0,'数据-取费表'!N16,1)</f>
        <v>0.95</v>
      </c>
      <c r="G50" s="290" t="s">
        <v>125</v>
      </c>
    </row>
    <row r="51" spans="1:7" ht="16.5" customHeight="1">
      <c r="A51" s="946" t="s">
        <v>790</v>
      </c>
      <c r="B51" s="253" t="s">
        <v>132</v>
      </c>
      <c r="C51" s="275">
        <f ca="1">ROUND(C49*F50,0)</f>
        <v>16159</v>
      </c>
      <c r="D51" s="275"/>
      <c r="E51" s="275"/>
      <c r="F51" s="307"/>
      <c r="G51" s="277" t="s">
        <v>64</v>
      </c>
    </row>
    <row r="52" spans="1:7" s="251" customFormat="1" ht="16.5" thickBot="1">
      <c r="A52" s="308" t="s">
        <v>65</v>
      </c>
      <c r="B52" s="309"/>
      <c r="C52" s="310">
        <f ca="1">C31+C51</f>
        <v>48417</v>
      </c>
      <c r="D52" s="309"/>
      <c r="E52" s="309"/>
      <c r="F52" s="309"/>
      <c r="G52" s="311"/>
    </row>
    <row r="55" spans="1:7" ht="15">
      <c r="B55" s="313" t="s">
        <v>66</v>
      </c>
      <c r="C55" s="314"/>
    </row>
    <row r="56" spans="1:7">
      <c r="B56" s="316" t="s">
        <v>67</v>
      </c>
      <c r="C56" s="317">
        <f ca="1">ROUND(C51/C52,3)</f>
        <v>0.33400000000000002</v>
      </c>
    </row>
    <row r="57" spans="1:7">
      <c r="B57" s="316" t="s">
        <v>68</v>
      </c>
      <c r="C57" s="318">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4" t="s">
        <v>156</v>
      </c>
      <c r="B1" s="3344"/>
      <c r="C1" s="3344"/>
      <c r="D1" s="3344"/>
      <c r="E1" s="3344"/>
      <c r="F1" s="334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5" t="s">
        <v>169</v>
      </c>
      <c r="B2" s="3345"/>
      <c r="C2" s="3345"/>
      <c r="D2" s="3345"/>
      <c r="E2" s="3345"/>
      <c r="F2" s="334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4" t="s">
        <v>871</v>
      </c>
      <c r="B1" s="334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43236</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1641</v>
      </c>
      <c r="B2" s="3039" t="s">
        <v>1642</v>
      </c>
      <c r="C2" s="3039" t="s">
        <v>1643</v>
      </c>
      <c r="D2" s="3039" t="str">
        <f>结果表仓储!D116</f>
        <v>出让国有建设用地使用权价值</v>
      </c>
      <c r="E2" s="3039"/>
      <c r="F2" s="3039" t="str">
        <f>结果表仓储!F116</f>
        <v>在建建筑物价值</v>
      </c>
      <c r="G2" s="3039"/>
      <c r="H2" s="3039" t="str">
        <f>IF(项目基本情况!B9="房地产市场价值","房地产市场价值","房地产价值")</f>
        <v>房地产市场价值</v>
      </c>
      <c r="I2" s="3039"/>
    </row>
    <row r="3" spans="1:9" ht="15">
      <c r="A3" s="3033"/>
      <c r="B3" s="3033"/>
      <c r="C3" s="3033"/>
      <c r="D3" s="1042" t="s">
        <v>1638</v>
      </c>
      <c r="E3" s="1042" t="s">
        <v>1644</v>
      </c>
      <c r="F3" s="1042" t="s">
        <v>1638</v>
      </c>
      <c r="G3" s="1042" t="s">
        <v>1639</v>
      </c>
      <c r="H3" s="1042" t="s">
        <v>1638</v>
      </c>
      <c r="I3" s="1042" t="s">
        <v>1639</v>
      </c>
    </row>
    <row r="4" spans="1:9" ht="15">
      <c r="A4" s="1971" t="str">
        <f>项目基本情况!S2</f>
        <v>北京市房地产</v>
      </c>
      <c r="B4" s="1042">
        <f>项目基本情况!C17</f>
        <v>34007.5</v>
      </c>
      <c r="C4" s="1042">
        <f>项目基本情况!C18</f>
        <v>15019.6</v>
      </c>
      <c r="D4" s="1042" t="e">
        <f ca="1">结果表仓储!D118</f>
        <v>#REF!</v>
      </c>
      <c r="E4" s="1042" t="e">
        <f ca="1">结果表仓储!E118</f>
        <v>#REF!</v>
      </c>
      <c r="F4" s="1042" t="e">
        <f ca="1">结果表仓储!F118</f>
        <v>#REF!</v>
      </c>
      <c r="G4" s="1042" t="e">
        <f ca="1">结果表仓储!G118</f>
        <v>#REF!</v>
      </c>
      <c r="H4" s="1042">
        <f ca="1">结果表仓储!H118</f>
        <v>19210</v>
      </c>
      <c r="I4" s="1042">
        <f ca="1">结果表仓储!I118</f>
        <v>31082</v>
      </c>
    </row>
    <row r="5" spans="1:9" ht="30" customHeight="1">
      <c r="A5" s="3033" t="s">
        <v>1640</v>
      </c>
      <c r="B5" s="3033"/>
      <c r="C5" s="3033"/>
      <c r="D5" s="3034" t="e">
        <f ca="1">结果表仓储!D119</f>
        <v>#REF!</v>
      </c>
      <c r="E5" s="3034"/>
      <c r="F5" s="3034" t="e">
        <f ca="1">结果表仓储!F119</f>
        <v>#REF!</v>
      </c>
      <c r="G5" s="3034"/>
      <c r="H5" s="3034" t="str">
        <f ca="1">结果表仓储!H119</f>
        <v>壹亿玖仟贰佰壹拾万元整</v>
      </c>
      <c r="I5" s="3034"/>
    </row>
    <row r="6" spans="1:9" ht="15.75">
      <c r="A6" s="3032" t="str">
        <f>结果表仓储!A120</f>
        <v/>
      </c>
      <c r="B6" s="3032"/>
      <c r="C6" s="3032"/>
      <c r="D6" s="3032">
        <f>结果表仓储!D120</f>
        <v>0</v>
      </c>
      <c r="E6" s="3032"/>
      <c r="F6" s="3032"/>
      <c r="G6" s="3032"/>
      <c r="H6" s="3032"/>
      <c r="I6" s="3032"/>
    </row>
    <row r="7" spans="1:9" ht="15">
      <c r="A7" s="3033" t="s">
        <v>1640</v>
      </c>
      <c r="B7" s="3033"/>
      <c r="C7" s="3033"/>
      <c r="D7" s="3035" t="str">
        <f>结果表仓储!D121</f>
        <v>零元整</v>
      </c>
      <c r="E7" s="3036"/>
      <c r="F7" s="3036"/>
      <c r="G7" s="3036"/>
      <c r="H7" s="3036"/>
      <c r="I7" s="3037"/>
    </row>
    <row r="8" spans="1:9" ht="15.75">
      <c r="A8" s="3032" t="str">
        <f>结果表仓储!A122</f>
        <v/>
      </c>
      <c r="B8" s="3032"/>
      <c r="C8" s="3032"/>
      <c r="D8" s="3032">
        <f ca="1">结果表仓储!D122</f>
        <v>19210</v>
      </c>
      <c r="E8" s="3032"/>
      <c r="F8" s="3032"/>
      <c r="G8" s="3032"/>
      <c r="H8" s="3032"/>
      <c r="I8" s="3032"/>
    </row>
    <row r="9" spans="1:9" ht="15">
      <c r="A9" s="3033" t="s">
        <v>1640</v>
      </c>
      <c r="B9" s="3033"/>
      <c r="C9" s="3033"/>
      <c r="D9" s="3034" t="str">
        <f ca="1">结果表仓储!D123</f>
        <v>壹亿玖仟贰佰壹拾万元整</v>
      </c>
      <c r="E9" s="3034"/>
      <c r="F9" s="3034"/>
      <c r="G9" s="3034"/>
      <c r="H9" s="3034"/>
      <c r="I9" s="3034"/>
    </row>
    <row r="10" spans="1:9" ht="15.75">
      <c r="A10" s="3032" t="str">
        <f>结果表仓储!A124</f>
        <v/>
      </c>
      <c r="B10" s="3032"/>
      <c r="C10" s="3032"/>
      <c r="D10" s="3032" t="str">
        <f>结果表仓储!D124</f>
        <v>——</v>
      </c>
      <c r="E10" s="3032"/>
      <c r="F10" s="3032"/>
      <c r="G10" s="3032"/>
      <c r="H10" s="3032"/>
      <c r="I10" s="3032"/>
    </row>
    <row r="11" spans="1:9" ht="15">
      <c r="A11" s="3033" t="s">
        <v>1640</v>
      </c>
      <c r="B11" s="3033"/>
      <c r="C11" s="3033"/>
      <c r="D11" s="3034" t="e">
        <f>结果表仓储!D125</f>
        <v>#VALUE!</v>
      </c>
      <c r="E11" s="3034"/>
      <c r="F11" s="3034"/>
      <c r="G11" s="3034"/>
      <c r="H11" s="3034"/>
      <c r="I11" s="3034"/>
    </row>
    <row r="12" spans="1:9" ht="15.75">
      <c r="A12" s="3032" t="str">
        <f>结果表仓储!A126</f>
        <v/>
      </c>
      <c r="B12" s="3032"/>
      <c r="C12" s="3032"/>
      <c r="D12" s="3032" t="str">
        <f>结果表仓储!D126</f>
        <v>——</v>
      </c>
      <c r="E12" s="3032"/>
      <c r="F12" s="3032"/>
      <c r="G12" s="3032"/>
      <c r="H12" s="3032"/>
      <c r="I12" s="3032"/>
    </row>
    <row r="13" spans="1:9" ht="15.75" thickBot="1">
      <c r="A13" s="3029" t="s">
        <v>1640</v>
      </c>
      <c r="B13" s="3029"/>
      <c r="C13" s="3029"/>
      <c r="D13" s="3030" t="e">
        <f>结果表仓储!D127</f>
        <v>#VALUE!</v>
      </c>
      <c r="E13" s="3030"/>
      <c r="F13" s="3030"/>
      <c r="G13" s="3030"/>
      <c r="H13" s="3030"/>
      <c r="I13" s="3030"/>
    </row>
    <row r="14" spans="1:9" ht="15" thickTop="1">
      <c r="A14" s="3031" t="s">
        <v>1645</v>
      </c>
      <c r="B14" s="3031"/>
      <c r="C14" s="3031"/>
      <c r="D14" s="3031"/>
      <c r="E14" s="3031"/>
      <c r="F14" s="3031"/>
      <c r="G14" s="3031"/>
      <c r="H14" s="3031"/>
      <c r="I14" s="303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I11" sqref="I11"/>
    </sheetView>
  </sheetViews>
  <sheetFormatPr defaultRowHeight="13.5"/>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H16" sqref="H16"/>
    </sheetView>
  </sheetViews>
  <sheetFormatPr defaultRowHeight="13.5"/>
  <sheetData>
    <row r="1" spans="1:7" ht="26.25" customHeight="1" thickTop="1" thickBot="1">
      <c r="A1" s="3351" t="s">
        <v>3175</v>
      </c>
      <c r="B1" s="3352"/>
      <c r="C1" s="3355" t="s">
        <v>3176</v>
      </c>
      <c r="D1" s="3356"/>
      <c r="E1" s="3357"/>
      <c r="F1" s="3358" t="s">
        <v>3177</v>
      </c>
    </row>
    <row r="2" spans="1:7" ht="14.25" thickBot="1">
      <c r="A2" s="3353"/>
      <c r="B2" s="3354"/>
      <c r="C2" s="2995" t="s">
        <v>3178</v>
      </c>
      <c r="D2" s="2995" t="s">
        <v>3179</v>
      </c>
      <c r="E2" s="2995" t="s">
        <v>3180</v>
      </c>
      <c r="F2" s="3359"/>
    </row>
    <row r="3" spans="1:7" ht="25.5" customHeight="1" thickBot="1">
      <c r="A3" s="3360" t="s">
        <v>3181</v>
      </c>
      <c r="B3" s="2996" t="s">
        <v>3182</v>
      </c>
      <c r="C3" s="2997">
        <v>80250</v>
      </c>
      <c r="D3" s="2997">
        <v>88829</v>
      </c>
      <c r="E3" s="2998" t="s">
        <v>70</v>
      </c>
      <c r="F3" s="2997">
        <v>84968</v>
      </c>
      <c r="G3">
        <f>F3+F5</f>
        <v>110381</v>
      </c>
    </row>
    <row r="4" spans="1:7" ht="15" thickBot="1">
      <c r="A4" s="3349"/>
      <c r="B4" s="2996" t="s">
        <v>3183</v>
      </c>
      <c r="C4" s="2997">
        <v>43249</v>
      </c>
      <c r="D4" s="2997">
        <v>47873</v>
      </c>
      <c r="E4" s="2998" t="s">
        <v>70</v>
      </c>
      <c r="F4" s="2997">
        <v>45792</v>
      </c>
    </row>
    <row r="5" spans="1:7" ht="25.5" customHeight="1" thickBot="1">
      <c r="A5" s="3348" t="s">
        <v>3184</v>
      </c>
      <c r="B5" s="2996" t="s">
        <v>3182</v>
      </c>
      <c r="C5" s="2997">
        <v>23935</v>
      </c>
      <c r="D5" s="2997">
        <v>26623</v>
      </c>
      <c r="E5" s="2998" t="s">
        <v>70</v>
      </c>
      <c r="F5" s="2997">
        <v>25413</v>
      </c>
    </row>
    <row r="6" spans="1:7" ht="15" thickBot="1">
      <c r="A6" s="3349"/>
      <c r="B6" s="2996" t="s">
        <v>3183</v>
      </c>
      <c r="C6" s="2997">
        <v>43543</v>
      </c>
      <c r="D6" s="2997">
        <v>48432</v>
      </c>
      <c r="E6" s="2998" t="s">
        <v>70</v>
      </c>
      <c r="F6" s="2997">
        <v>46231</v>
      </c>
    </row>
    <row r="7" spans="1:7" ht="25.5" customHeight="1" thickBot="1">
      <c r="A7" s="3348" t="s">
        <v>3185</v>
      </c>
      <c r="B7" s="2996" t="s">
        <v>3182</v>
      </c>
      <c r="C7" s="2998" t="s">
        <v>70</v>
      </c>
      <c r="D7" s="2997">
        <v>3821</v>
      </c>
      <c r="E7" s="2997">
        <v>13944</v>
      </c>
      <c r="F7" s="2997">
        <v>9895</v>
      </c>
      <c r="G7">
        <f>F7+F9</f>
        <v>18366</v>
      </c>
    </row>
    <row r="8" spans="1:7" ht="15" thickBot="1">
      <c r="A8" s="3349"/>
      <c r="B8" s="2996" t="s">
        <v>3183</v>
      </c>
      <c r="C8" s="2998" t="s">
        <v>70</v>
      </c>
      <c r="D8" s="2997">
        <v>11241</v>
      </c>
      <c r="E8" s="2997">
        <v>41022</v>
      </c>
      <c r="F8" s="2997">
        <v>29110</v>
      </c>
      <c r="G8">
        <f>F11</f>
        <v>1694</v>
      </c>
    </row>
    <row r="9" spans="1:7" ht="25.5" customHeight="1" thickBot="1">
      <c r="A9" s="3348" t="s">
        <v>3186</v>
      </c>
      <c r="B9" s="2996" t="s">
        <v>3182</v>
      </c>
      <c r="C9" s="2998" t="s">
        <v>70</v>
      </c>
      <c r="D9" s="2997">
        <v>3129</v>
      </c>
      <c r="E9" s="2997">
        <v>12033</v>
      </c>
      <c r="F9" s="2997">
        <v>8471</v>
      </c>
    </row>
    <row r="10" spans="1:7" ht="15" thickBot="1">
      <c r="A10" s="3349"/>
      <c r="B10" s="2996" t="s">
        <v>3183</v>
      </c>
      <c r="C10" s="2998" t="s">
        <v>70</v>
      </c>
      <c r="D10" s="2997">
        <v>11251</v>
      </c>
      <c r="E10" s="2997">
        <v>43266</v>
      </c>
      <c r="F10" s="2997">
        <v>30459</v>
      </c>
    </row>
    <row r="11" spans="1:7" ht="15" thickBot="1">
      <c r="A11" s="3348" t="s">
        <v>3187</v>
      </c>
      <c r="B11" s="2996" t="s">
        <v>3182</v>
      </c>
      <c r="C11" s="2998" t="s">
        <v>70</v>
      </c>
      <c r="D11" s="2997">
        <v>3138</v>
      </c>
      <c r="E11" s="2997">
        <v>731</v>
      </c>
      <c r="F11" s="2997">
        <v>1694</v>
      </c>
    </row>
    <row r="12" spans="1:7" ht="15" thickBot="1">
      <c r="A12" s="3349"/>
      <c r="B12" s="2996" t="s">
        <v>3183</v>
      </c>
      <c r="C12" s="2998" t="s">
        <v>70</v>
      </c>
      <c r="D12" s="2997">
        <v>8313</v>
      </c>
      <c r="E12" s="2997">
        <v>1937</v>
      </c>
      <c r="F12" s="2997">
        <v>4488</v>
      </c>
    </row>
    <row r="13" spans="1:7" ht="15" thickBot="1">
      <c r="A13" s="3348" t="s">
        <v>3188</v>
      </c>
      <c r="B13" s="2999" t="s">
        <v>3182</v>
      </c>
      <c r="C13" s="2998" t="s">
        <v>70</v>
      </c>
      <c r="D13" s="2998" t="s">
        <v>70</v>
      </c>
      <c r="E13" s="2998" t="s">
        <v>70</v>
      </c>
      <c r="F13" s="2997">
        <v>130441</v>
      </c>
    </row>
    <row r="14" spans="1:7" ht="15" thickBot="1">
      <c r="A14" s="3350"/>
      <c r="B14" s="3000" t="s">
        <v>3183</v>
      </c>
      <c r="C14" s="3001" t="s">
        <v>70</v>
      </c>
      <c r="D14" s="3001" t="s">
        <v>70</v>
      </c>
      <c r="E14" s="3001" t="s">
        <v>70</v>
      </c>
      <c r="F14" s="3002">
        <v>38357</v>
      </c>
      <c r="G14">
        <f>G3+G7+G8</f>
        <v>130441</v>
      </c>
    </row>
    <row r="15" spans="1:7" ht="14.25" thickTop="1"/>
  </sheetData>
  <mergeCells count="9">
    <mergeCell ref="A11:A12"/>
    <mergeCell ref="A13:A14"/>
    <mergeCell ref="A1:B2"/>
    <mergeCell ref="C1:E1"/>
    <mergeCell ref="F1:F2"/>
    <mergeCell ref="A3:A4"/>
    <mergeCell ref="A5:A6"/>
    <mergeCell ref="A7:A8"/>
    <mergeCell ref="A9:A10"/>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6" t="s">
        <v>1662</v>
      </c>
      <c r="B1" s="3046"/>
      <c r="C1" s="3046"/>
      <c r="D1" s="3046"/>
    </row>
    <row r="2" spans="1:4" ht="18">
      <c r="A2" s="3047" t="s">
        <v>1646</v>
      </c>
      <c r="B2" s="3047"/>
      <c r="C2" s="3047"/>
      <c r="D2" s="3047"/>
    </row>
    <row r="3" spans="1:4" ht="18.75">
      <c r="A3" s="1975" t="s">
        <v>1647</v>
      </c>
      <c r="B3" s="1975" t="s">
        <v>1648</v>
      </c>
      <c r="C3" s="1975" t="s">
        <v>1649</v>
      </c>
      <c r="D3" s="1975" t="s">
        <v>1650</v>
      </c>
    </row>
    <row r="4" spans="1:4" ht="56.25" customHeight="1">
      <c r="A4" s="1976" t="str">
        <f>项目基本情况!B4</f>
        <v>刘梅</v>
      </c>
      <c r="B4" s="1977">
        <f ca="1">项目基本情况!C4</f>
        <v>1120140022</v>
      </c>
      <c r="C4" s="1978"/>
      <c r="D4" s="1979" t="s">
        <v>1651</v>
      </c>
    </row>
    <row r="5" spans="1:4" ht="56.25" customHeight="1">
      <c r="A5" s="1976" t="str">
        <f>项目基本情况!D4</f>
        <v>吴薇</v>
      </c>
      <c r="B5" s="1977">
        <f ca="1">项目基本情况!E4</f>
        <v>1419970001</v>
      </c>
      <c r="C5" s="1980"/>
      <c r="D5" s="1979" t="s">
        <v>1651</v>
      </c>
    </row>
    <row r="6" spans="1:4" ht="18">
      <c r="A6" s="3047" t="s">
        <v>1652</v>
      </c>
      <c r="B6" s="3047"/>
      <c r="C6" s="3047"/>
      <c r="D6" s="3047"/>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48" t="s">
        <v>1655</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5"/>
      <c r="C12" s="3045"/>
      <c r="D12" s="3045"/>
    </row>
    <row r="13" spans="1:4" ht="30" customHeight="1">
      <c r="A13" s="3040" t="str">
        <f>IF(项目基本情况!B8="抵押","3.抵押双方在办理抵押登记手续时，应使用本公司出具的正式《房地产评估报告》，特提醒报告使用者注意。","——")</f>
        <v>——</v>
      </c>
      <c r="B13" s="3045"/>
      <c r="C13" s="3045"/>
      <c r="D13" s="3045"/>
    </row>
    <row r="14" spans="1:4" ht="15.75" customHeight="1">
      <c r="A14" s="3040" t="str">
        <f>IF(项目基本情况!B8="抵押","4.本次评估估价师所知悉的法定优先受偿款情况说明如下：","——")</f>
        <v>——</v>
      </c>
      <c r="B14" s="3045"/>
      <c r="C14" s="3045"/>
      <c r="D14" s="3045"/>
    </row>
    <row r="15" spans="1:4" ht="42" customHeight="1">
      <c r="A15" s="3040" t="str">
        <f>IF(项目基本情况!B8="抵押","（1）"&amp;CONCATENATE(项目基本情况!L20,项目基本情况!L21,项目基本情况!L22),"——")</f>
        <v>——</v>
      </c>
      <c r="B15" s="3040"/>
      <c r="C15" s="3040"/>
      <c r="D15" s="3040"/>
    </row>
    <row r="16" spans="1:4" ht="30" customHeight="1">
      <c r="A16" s="3042" t="s">
        <v>1656</v>
      </c>
      <c r="B16" s="3042"/>
      <c r="C16" s="3042"/>
      <c r="D16" s="3042"/>
    </row>
    <row r="17" spans="1:4" ht="144" customHeight="1">
      <c r="A17" s="3042" t="s">
        <v>1657</v>
      </c>
      <c r="B17" s="3042"/>
      <c r="C17" s="3042"/>
      <c r="D17" s="3042"/>
    </row>
    <row r="18" spans="1:4" ht="15.75" customHeight="1">
      <c r="A18" s="3040" t="str">
        <f>IF(项目基本情况!B8="抵押",结果表仓储!K120,"——")</f>
        <v>——</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0"/>
      <c r="C20" s="3040"/>
      <c r="D20" s="3040"/>
    </row>
    <row r="21" spans="1:4" ht="57.75" customHeight="1">
      <c r="A21" s="3043"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1658</v>
      </c>
      <c r="B22" s="3044"/>
      <c r="C22" s="3044"/>
      <c r="D22" s="3044"/>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54" t="s">
        <v>1669</v>
      </c>
      <c r="B15" s="3049" t="s">
        <v>136</v>
      </c>
      <c r="C15" s="3050"/>
    </row>
    <row r="16" spans="1:7" ht="13.5">
      <c r="A16" s="3055"/>
      <c r="B16" s="3049" t="s">
        <v>69</v>
      </c>
      <c r="C16" s="3050"/>
    </row>
    <row r="17" spans="1:3" ht="13.5">
      <c r="A17" s="3055"/>
      <c r="B17" s="3052" t="s">
        <v>1670</v>
      </c>
      <c r="C17" s="1998" t="s">
        <v>1669</v>
      </c>
    </row>
    <row r="18" spans="1:3" ht="13.5">
      <c r="A18" s="3055"/>
      <c r="B18" s="3052"/>
      <c r="C18" s="1998" t="s">
        <v>1671</v>
      </c>
    </row>
    <row r="19" spans="1:3" ht="13.5">
      <c r="A19" s="3055"/>
      <c r="B19" s="3052"/>
      <c r="C19" s="1998" t="s">
        <v>1672</v>
      </c>
    </row>
    <row r="20" spans="1:3" ht="13.5">
      <c r="A20" s="3056"/>
      <c r="B20" s="3051" t="s">
        <v>1673</v>
      </c>
      <c r="C20" s="3050"/>
    </row>
    <row r="21" spans="1:3" ht="13.5">
      <c r="A21" s="1999" t="s">
        <v>1674</v>
      </c>
      <c r="B21" s="2000"/>
      <c r="C21" s="2001"/>
    </row>
    <row r="22" spans="1:3" ht="13.5">
      <c r="A22" s="3053" t="s">
        <v>1675</v>
      </c>
      <c r="B22" s="3051" t="s">
        <v>1676</v>
      </c>
      <c r="C22" s="3050"/>
    </row>
    <row r="23" spans="1:3" ht="13.5">
      <c r="A23" s="3053"/>
      <c r="B23" s="3051" t="s">
        <v>1677</v>
      </c>
      <c r="C23" s="3050"/>
    </row>
    <row r="24" spans="1:3" ht="13.5">
      <c r="A24" s="3053"/>
      <c r="B24" s="3051" t="s">
        <v>1678</v>
      </c>
      <c r="C24" s="3050"/>
    </row>
    <row r="25" spans="1:3" ht="13.5">
      <c r="A25" s="3053"/>
      <c r="B25" s="3052" t="s">
        <v>1679</v>
      </c>
      <c r="C25" s="1998" t="s">
        <v>1680</v>
      </c>
    </row>
    <row r="26" spans="1:3" ht="13.5">
      <c r="A26" s="3053"/>
      <c r="B26" s="3052"/>
      <c r="C26" s="1998" t="s">
        <v>1681</v>
      </c>
    </row>
    <row r="27" spans="1:3" ht="13.5">
      <c r="A27" s="3053"/>
      <c r="B27" s="3052"/>
      <c r="C27" s="1998" t="s">
        <v>1682</v>
      </c>
    </row>
    <row r="28" spans="1:3" ht="13.5">
      <c r="A28" s="3053"/>
      <c r="B28" s="3052"/>
      <c r="C28" s="1998" t="s">
        <v>1683</v>
      </c>
    </row>
    <row r="29" spans="1:3" ht="13.5">
      <c r="A29" s="3053"/>
      <c r="B29" s="3052"/>
      <c r="C29" s="1998" t="s">
        <v>1684</v>
      </c>
    </row>
    <row r="30" spans="1:3" ht="13.5">
      <c r="A30" s="3053"/>
      <c r="B30" s="3052"/>
      <c r="C30" s="1998" t="s">
        <v>1685</v>
      </c>
    </row>
    <row r="31" spans="1:3" ht="13.5">
      <c r="A31" s="3053"/>
      <c r="B31" s="3052"/>
      <c r="C31" s="1998" t="s">
        <v>1686</v>
      </c>
    </row>
    <row r="32" spans="1:3" ht="13.5">
      <c r="A32" s="3053"/>
      <c r="B32" s="3052"/>
      <c r="C32" s="1998" t="s">
        <v>1687</v>
      </c>
    </row>
    <row r="33" spans="1:3" ht="13.5">
      <c r="A33" s="3053"/>
      <c r="B33" s="305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43251</v>
      </c>
      <c r="C2" s="1017" t="s">
        <v>826</v>
      </c>
      <c r="D2" s="1017"/>
    </row>
    <row r="3" spans="1:6" ht="24" customHeight="1">
      <c r="A3" s="1018" t="s">
        <v>827</v>
      </c>
      <c r="B3" s="1019" t="s">
        <v>828</v>
      </c>
      <c r="C3" s="2343" t="s">
        <v>829</v>
      </c>
      <c r="D3" s="2346" t="s">
        <v>830</v>
      </c>
      <c r="E3" s="1020" t="s">
        <v>831</v>
      </c>
      <c r="F3" s="1019" t="s">
        <v>829</v>
      </c>
    </row>
    <row r="4" spans="1:6" ht="24" customHeight="1">
      <c r="A4" s="1700" t="s">
        <v>832</v>
      </c>
      <c r="B4" s="1020">
        <f ca="1">IF(C4&lt;B2,"已过期",1119970066)</f>
        <v>1119970066</v>
      </c>
      <c r="C4" s="2344">
        <v>43849</v>
      </c>
      <c r="D4" s="2347" t="s">
        <v>832</v>
      </c>
      <c r="E4" s="1020">
        <f ca="1">IF(F4&lt;B2,"已过期",96010014)</f>
        <v>96010014</v>
      </c>
      <c r="F4" s="1028">
        <v>47118</v>
      </c>
    </row>
    <row r="5" spans="1:6" ht="24" customHeight="1">
      <c r="A5" s="1700" t="s">
        <v>833</v>
      </c>
      <c r="B5" s="1020">
        <f ca="1">IF(C5&lt;B2,"已过期",1119970074)</f>
        <v>1119970074</v>
      </c>
      <c r="C5" s="2344">
        <v>43849</v>
      </c>
      <c r="D5" s="2347" t="s">
        <v>833</v>
      </c>
      <c r="E5" s="1020">
        <f ca="1">IF(F5&lt;B2,"已过期",2002110027)</f>
        <v>2002110027</v>
      </c>
      <c r="F5" s="1028">
        <v>46752</v>
      </c>
    </row>
    <row r="6" spans="1:6" ht="24" customHeight="1">
      <c r="A6" s="1700" t="s">
        <v>834</v>
      </c>
      <c r="B6" s="1020">
        <f ca="1">IF(C6&lt;B2,"已过期",1119970111)</f>
        <v>1119970111</v>
      </c>
      <c r="C6" s="2344">
        <v>43849</v>
      </c>
      <c r="D6" s="2347" t="s">
        <v>834</v>
      </c>
      <c r="E6" s="1020">
        <f ca="1">IF(F6&lt;B2,"已过期",94010078)</f>
        <v>94010078</v>
      </c>
      <c r="F6" s="1028">
        <v>46387</v>
      </c>
    </row>
    <row r="7" spans="1:6" ht="24" customHeight="1">
      <c r="A7" s="1700" t="s">
        <v>835</v>
      </c>
      <c r="B7" s="1020">
        <f ca="1">IF(C7&lt;B2,"已过期",1120050019)</f>
        <v>1120050019</v>
      </c>
      <c r="C7" s="2344">
        <v>43359</v>
      </c>
      <c r="D7" s="2347" t="s">
        <v>835</v>
      </c>
      <c r="E7" s="1020">
        <f ca="1">IF(F7&lt;B2,"已过期",2002110030)</f>
        <v>2002110030</v>
      </c>
      <c r="F7" s="1028">
        <v>46387</v>
      </c>
    </row>
    <row r="8" spans="1:6" ht="24" customHeight="1">
      <c r="A8" s="1700" t="s">
        <v>836</v>
      </c>
      <c r="B8" s="1020">
        <f ca="1">IF(C8&lt;B2,"已过期",1120000080)</f>
        <v>1120000080</v>
      </c>
      <c r="C8" s="2344">
        <v>43849</v>
      </c>
      <c r="D8" s="2347" t="s">
        <v>836</v>
      </c>
      <c r="E8" s="1020">
        <f ca="1">IF(F8&lt;B2,"已过期",2000110082)</f>
        <v>2000110082</v>
      </c>
      <c r="F8" s="1028">
        <v>46387</v>
      </c>
    </row>
    <row r="9" spans="1:6" ht="24" customHeight="1">
      <c r="A9" s="1700" t="s">
        <v>837</v>
      </c>
      <c r="B9" s="1020">
        <f ca="1">IF(C9&lt;B2,"已过期",1419970001)</f>
        <v>1419970001</v>
      </c>
      <c r="C9" s="2344">
        <v>43867</v>
      </c>
      <c r="D9" s="2347" t="s">
        <v>837</v>
      </c>
      <c r="E9" s="1020">
        <f ca="1">IF(F9&lt;B2,"已过期",2002110125)</f>
        <v>2002110125</v>
      </c>
      <c r="F9" s="1028">
        <v>47118</v>
      </c>
    </row>
    <row r="10" spans="1:6" ht="24" customHeight="1">
      <c r="A10" s="1700" t="s">
        <v>838</v>
      </c>
      <c r="B10" s="1020">
        <f ca="1">IF(C10&lt;B2,"已过期",1120060040)</f>
        <v>1120060040</v>
      </c>
      <c r="C10" s="2344">
        <v>43483</v>
      </c>
      <c r="D10" s="2347" t="s">
        <v>838</v>
      </c>
      <c r="E10" s="1020">
        <f ca="1">IF(F10&lt;B2,"已过期",2004110096)</f>
        <v>2004110096</v>
      </c>
      <c r="F10" s="1028">
        <v>47118</v>
      </c>
    </row>
    <row r="11" spans="1:6" ht="24" customHeight="1">
      <c r="A11" s="1700" t="s">
        <v>839</v>
      </c>
      <c r="B11" s="1020">
        <f ca="1">IF(C11&lt;B2,"已过期",1120100036)</f>
        <v>1120100036</v>
      </c>
      <c r="C11" s="2344">
        <v>43622</v>
      </c>
      <c r="D11" s="2347" t="s">
        <v>839</v>
      </c>
      <c r="E11" s="1020">
        <f ca="1">IF(F11&lt;B2,"已过期",2010110070)</f>
        <v>2010110070</v>
      </c>
      <c r="F11" s="1028">
        <v>47907</v>
      </c>
    </row>
    <row r="12" spans="1:6" ht="24" customHeight="1">
      <c r="A12" s="1700" t="s">
        <v>3046</v>
      </c>
      <c r="B12" s="1020">
        <v>1120110054</v>
      </c>
      <c r="C12" s="2938">
        <v>43937</v>
      </c>
      <c r="D12" s="1700" t="s">
        <v>3046</v>
      </c>
      <c r="E12" s="1020">
        <v>2008110060</v>
      </c>
      <c r="F12" s="1028">
        <v>47177</v>
      </c>
    </row>
    <row r="13" spans="1:6" ht="24" customHeight="1">
      <c r="A13" s="1700" t="s">
        <v>840</v>
      </c>
      <c r="B13" s="1020">
        <f ca="1">IF(C13&lt;B2,"已过期",1120070131)</f>
        <v>1120070131</v>
      </c>
      <c r="C13" s="2344">
        <v>43814</v>
      </c>
      <c r="D13" s="2347" t="s">
        <v>840</v>
      </c>
      <c r="E13" s="1020">
        <v>2014110011</v>
      </c>
      <c r="F13" s="1028">
        <v>49302</v>
      </c>
    </row>
    <row r="14" spans="1:6" ht="24" customHeight="1">
      <c r="A14" s="1700" t="s">
        <v>841</v>
      </c>
      <c r="B14" s="1020">
        <f ca="1">IF(C14&lt;B2,"已过期",1120130020)</f>
        <v>1120130020</v>
      </c>
      <c r="C14" s="2344">
        <v>43622</v>
      </c>
      <c r="D14" s="2347"/>
      <c r="E14" s="1020"/>
      <c r="F14" s="1020"/>
    </row>
    <row r="15" spans="1:6" ht="24" customHeight="1">
      <c r="A15" s="1701" t="s">
        <v>1149</v>
      </c>
      <c r="B15" s="1020">
        <v>1120070085</v>
      </c>
      <c r="C15" s="2344">
        <v>43814</v>
      </c>
      <c r="D15" s="2348" t="s">
        <v>1149</v>
      </c>
      <c r="E15" s="1020">
        <v>2004110128</v>
      </c>
      <c r="F15" s="1021">
        <v>47118</v>
      </c>
    </row>
    <row r="16" spans="1:6" ht="24" customHeight="1">
      <c r="A16" s="1700" t="s">
        <v>842</v>
      </c>
      <c r="B16" s="1020">
        <f ca="1">IF(C16&lt;B2,"已过期",1120140022)</f>
        <v>1120140022</v>
      </c>
      <c r="C16" s="2344">
        <v>44029</v>
      </c>
      <c r="D16" s="2347" t="s">
        <v>842</v>
      </c>
      <c r="E16" s="1020">
        <f ca="1">IF(F16&lt;B2,"已过期",2008110059)</f>
        <v>2008110059</v>
      </c>
      <c r="F16" s="1028">
        <v>47177</v>
      </c>
    </row>
    <row r="17" spans="1:7" ht="24" customHeight="1">
      <c r="A17" s="1700"/>
      <c r="B17" s="1020"/>
      <c r="C17" s="2344"/>
      <c r="D17" s="2347"/>
      <c r="E17" s="1020"/>
      <c r="F17" s="1028"/>
    </row>
    <row r="18" spans="1:7" ht="24" customHeight="1">
      <c r="A18" s="1700"/>
      <c r="B18" s="1020"/>
      <c r="C18" s="2344"/>
      <c r="D18" s="2347"/>
      <c r="E18" s="1020"/>
      <c r="F18" s="1028"/>
    </row>
    <row r="19" spans="1:7" ht="24" customHeight="1">
      <c r="A19" s="1700"/>
      <c r="B19" s="1020"/>
      <c r="C19" s="2344"/>
      <c r="D19" s="2347"/>
      <c r="E19" s="1020"/>
      <c r="F19" s="1020"/>
    </row>
    <row r="20" spans="1:7" ht="24" customHeight="1">
      <c r="A20" s="1700"/>
      <c r="B20" s="1020"/>
      <c r="C20" s="2344"/>
      <c r="D20" s="2347"/>
      <c r="E20" s="1020"/>
      <c r="F20" s="1020"/>
    </row>
    <row r="21" spans="1:7" ht="24" customHeight="1">
      <c r="A21" s="1700"/>
      <c r="B21" s="1020"/>
      <c r="C21" s="2344"/>
      <c r="D21" s="2347" t="s">
        <v>843</v>
      </c>
      <c r="E21" s="1020">
        <f ca="1">IF(F21&lt;B2,"已过期",2011110090)</f>
        <v>2011110090</v>
      </c>
      <c r="F21" s="1028">
        <v>48302</v>
      </c>
    </row>
    <row r="22" spans="1:7" ht="24" customHeight="1">
      <c r="A22" s="1700" t="s">
        <v>844</v>
      </c>
      <c r="B22" s="1020">
        <f ca="1">IF(C22&lt;B2,"已过期",1120020033)</f>
        <v>1120020033</v>
      </c>
      <c r="C22" s="2344">
        <v>43304</v>
      </c>
      <c r="D22" s="2347" t="s">
        <v>844</v>
      </c>
      <c r="E22" s="1020">
        <f ca="1">IF(F22&lt;B2,"已过期",2000110137)</f>
        <v>2000110137</v>
      </c>
      <c r="F22" s="1028">
        <v>46387</v>
      </c>
    </row>
    <row r="23" spans="1:7" ht="24" customHeight="1">
      <c r="A23" s="1700" t="s">
        <v>845</v>
      </c>
      <c r="B23" s="1020">
        <f ca="1">IF(C23&lt;B2,"已过期",1120130048)</f>
        <v>1120130048</v>
      </c>
      <c r="C23" s="2344">
        <v>43686</v>
      </c>
      <c r="D23" s="2347"/>
      <c r="E23" s="1020"/>
      <c r="F23" s="1020"/>
    </row>
    <row r="24" spans="1:7" s="1022" customFormat="1" ht="24" customHeight="1">
      <c r="A24" s="1701" t="s">
        <v>1333</v>
      </c>
      <c r="B24" s="1701" t="s">
        <v>1333</v>
      </c>
      <c r="C24" s="2345" t="s">
        <v>1333</v>
      </c>
      <c r="D24" s="2348" t="s">
        <v>1333</v>
      </c>
      <c r="E24" s="1701" t="s">
        <v>1333</v>
      </c>
      <c r="F24" s="1701" t="s">
        <v>1333</v>
      </c>
    </row>
    <row r="25" spans="1:7" ht="24" customHeight="1">
      <c r="A25" s="3057" t="s">
        <v>846</v>
      </c>
      <c r="B25" s="3057"/>
      <c r="C25" s="3057"/>
      <c r="D25" s="3057"/>
      <c r="E25" s="3057"/>
      <c r="F25" s="3057"/>
      <c r="G25" s="3057"/>
    </row>
    <row r="26" spans="1:7" s="1023" customFormat="1" ht="24" customHeight="1">
      <c r="A26" s="3058" t="s">
        <v>847</v>
      </c>
      <c r="B26" s="3058"/>
      <c r="C26" s="3059"/>
      <c r="D26" s="3060" t="s">
        <v>848</v>
      </c>
      <c r="E26" s="3058"/>
      <c r="F26" s="3058"/>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6">
        <v>44377</v>
      </c>
    </row>
    <row r="29" spans="1:7" s="1025" customFormat="1" ht="24" customHeight="1">
      <c r="A29" s="1026"/>
      <c r="B29" s="1026"/>
      <c r="C29" s="2350"/>
      <c r="D29" s="2352"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收益法车库</vt:lpstr>
      <vt:lpstr>成本法车库</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2018-05-31T06:18:51Z</dcterms:modified>
</cp:coreProperties>
</file>