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测算结果" sheetId="66" state="hidden" r:id="rId19"/>
    <sheet name="收益法" sheetId="15" r:id="rId20"/>
    <sheet name="酒店收入计算" sheetId="58" state="hidden" r:id="rId21"/>
    <sheet name="收益法 (2)" sheetId="65"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 name="明细表" sheetId="63" r:id="rId40"/>
    <sheet name="案例" sheetId="64" r:id="rId41"/>
  </sheets>
  <externalReferences>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5" i="62" l="1"/>
  <c r="F3" i="66" l="1"/>
  <c r="F2" i="66"/>
  <c r="F4" i="66" s="1"/>
  <c r="Q70" i="65"/>
  <c r="F60" i="65"/>
  <c r="Q57" i="65"/>
  <c r="Q56" i="65"/>
  <c r="J51" i="65"/>
  <c r="J50" i="65"/>
  <c r="Q49" i="65"/>
  <c r="M48" i="65"/>
  <c r="L48" i="65"/>
  <c r="F42" i="65"/>
  <c r="F40" i="65"/>
  <c r="F69" i="65" s="1"/>
  <c r="F38" i="65"/>
  <c r="F67" i="65" s="1"/>
  <c r="F37" i="65"/>
  <c r="F66" i="65" s="1"/>
  <c r="F36" i="65"/>
  <c r="F65" i="65" s="1"/>
  <c r="J35" i="65"/>
  <c r="Q69" i="65" s="1"/>
  <c r="F33" i="65"/>
  <c r="F62" i="65" s="1"/>
  <c r="F31" i="65"/>
  <c r="M28" i="65"/>
  <c r="M26" i="65"/>
  <c r="F26" i="65"/>
  <c r="M24" i="65"/>
  <c r="M23" i="65"/>
  <c r="F23" i="65"/>
  <c r="D24" i="65" s="1"/>
  <c r="M22" i="65"/>
  <c r="F21" i="65"/>
  <c r="C27" i="65" s="1"/>
  <c r="F20" i="65"/>
  <c r="M19" i="65"/>
  <c r="F18" i="65"/>
  <c r="M17" i="65"/>
  <c r="F17" i="65"/>
  <c r="F16" i="65"/>
  <c r="J15" i="65"/>
  <c r="F15" i="65"/>
  <c r="F13" i="65"/>
  <c r="M9" i="65"/>
  <c r="F9" i="65"/>
  <c r="M8" i="65"/>
  <c r="F8" i="65"/>
  <c r="F52" i="65" s="1"/>
  <c r="M6" i="65"/>
  <c r="F6" i="65"/>
  <c r="C2" i="65"/>
  <c r="P73" i="65" s="1"/>
  <c r="G1" i="65"/>
  <c r="B28" i="31"/>
  <c r="I33" i="21"/>
  <c r="G33" i="21"/>
  <c r="E33" i="21"/>
  <c r="C37" i="21"/>
  <c r="I37" i="21" s="1"/>
  <c r="H4" i="64"/>
  <c r="G47" i="21" s="1"/>
  <c r="H5" i="64"/>
  <c r="I47" i="21" s="1"/>
  <c r="H3" i="64"/>
  <c r="E47" i="21" s="1"/>
  <c r="E20" i="1"/>
  <c r="G37" i="21" l="1"/>
  <c r="E37" i="21"/>
  <c r="D22" i="65"/>
  <c r="D23" i="65"/>
  <c r="C63" i="65"/>
  <c r="C21" i="65"/>
  <c r="C34" i="65"/>
  <c r="L47" i="65"/>
  <c r="K54" i="65"/>
  <c r="P60" i="65"/>
  <c r="D47" i="65"/>
  <c r="P51" i="65"/>
  <c r="A126" i="57" l="1"/>
  <c r="A123" i="9"/>
  <c r="A16" i="54"/>
  <c r="A14" i="54"/>
  <c r="A19" i="55" l="1"/>
  <c r="A13" i="55"/>
  <c r="A1" i="52"/>
  <c r="A4" i="50"/>
  <c r="A2" i="50"/>
  <c r="D5" i="43" l="1"/>
  <c r="L5" i="59" l="1"/>
  <c r="K5" i="59"/>
  <c r="P5" i="59" s="1"/>
  <c r="J5" i="59"/>
  <c r="O5" i="59" s="1"/>
  <c r="I5" i="59"/>
  <c r="N5" i="59" s="1"/>
  <c r="Q5" i="59"/>
  <c r="H23" i="31"/>
  <c r="B2" i="1" l="1"/>
  <c r="J52" i="65" s="1"/>
  <c r="L60" i="65" l="1"/>
  <c r="J54" i="65"/>
  <c r="Q50" i="65" s="1"/>
  <c r="C76" i="9"/>
  <c r="C77" i="57"/>
  <c r="F30" i="1"/>
  <c r="Q72" i="65" l="1"/>
  <c r="Q59" i="65"/>
  <c r="J56" i="57"/>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5" i="61"/>
  <c r="D6" i="61"/>
  <c r="F6" i="61"/>
  <c r="F5" i="61"/>
  <c r="F3" i="61"/>
  <c r="D4" i="61"/>
  <c r="F4" i="61"/>
  <c r="D7" i="61"/>
  <c r="E20" i="43" l="1"/>
  <c r="I1" i="61"/>
  <c r="B30" i="1" s="1"/>
  <c r="D3" i="61"/>
  <c r="M11" i="65" l="1"/>
  <c r="J10" i="65" s="1"/>
  <c r="F11" i="65"/>
  <c r="D28" i="57"/>
  <c r="D29" i="57"/>
  <c r="C54" i="65" l="1"/>
  <c r="D28" i="9"/>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O36" i="59"/>
  <c r="C37" i="59" s="1"/>
  <c r="N36" i="59"/>
  <c r="B37" i="59" s="1"/>
  <c r="B38" i="59" s="1"/>
  <c r="B39" i="59" s="1"/>
  <c r="S39" i="59" s="1"/>
  <c r="D36" i="59"/>
  <c r="Q35" i="59"/>
  <c r="P35" i="59"/>
  <c r="O35" i="59"/>
  <c r="N35" i="59"/>
  <c r="Q34" i="59"/>
  <c r="P34" i="59"/>
  <c r="O34" i="59"/>
  <c r="N34" i="59"/>
  <c r="Q33" i="59"/>
  <c r="P33" i="59"/>
  <c r="O33" i="59"/>
  <c r="N33" i="59"/>
  <c r="C33" i="59"/>
  <c r="Q32" i="59"/>
  <c r="F33" i="59" s="1"/>
  <c r="F34" i="59" s="1"/>
  <c r="F35" i="59" s="1"/>
  <c r="V35"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AA13" i="59" s="1"/>
  <c r="O13" i="59"/>
  <c r="Y13" i="59" s="1"/>
  <c r="Z13" i="59" s="1"/>
  <c r="N13" i="59"/>
  <c r="X13" i="59" s="1"/>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AA9" i="59" s="1"/>
  <c r="O9" i="59"/>
  <c r="Y9" i="59" s="1"/>
  <c r="Z9" i="59" s="1"/>
  <c r="N9" i="59"/>
  <c r="X9" i="59" s="1"/>
  <c r="F9" i="59"/>
  <c r="F10" i="59" s="1"/>
  <c r="F11" i="59" s="1"/>
  <c r="V11" i="59" s="1"/>
  <c r="Q8" i="59"/>
  <c r="P8" i="59"/>
  <c r="O8" i="59"/>
  <c r="N8" i="59"/>
  <c r="D8" i="59"/>
  <c r="O7" i="59"/>
  <c r="N7" i="59"/>
  <c r="B13" i="59" l="1"/>
  <c r="B14" i="59" s="1"/>
  <c r="B15" i="59" s="1"/>
  <c r="S15" i="59" s="1"/>
  <c r="X12" i="59"/>
  <c r="E13" i="59"/>
  <c r="E14" i="59" s="1"/>
  <c r="E15" i="59" s="1"/>
  <c r="U15" i="59" s="1"/>
  <c r="AA12" i="59"/>
  <c r="B17" i="59"/>
  <c r="B18" i="59" s="1"/>
  <c r="B19" i="59" s="1"/>
  <c r="S19" i="59" s="1"/>
  <c r="X16" i="59"/>
  <c r="E17" i="59"/>
  <c r="E18" i="59" s="1"/>
  <c r="E19" i="59" s="1"/>
  <c r="U19" i="59" s="1"/>
  <c r="AA16" i="59"/>
  <c r="P47" i="59"/>
  <c r="U47" i="59"/>
  <c r="B9" i="59"/>
  <c r="B10" i="59" s="1"/>
  <c r="B11" i="59" s="1"/>
  <c r="S11" i="59" s="1"/>
  <c r="X8" i="59"/>
  <c r="E9" i="59"/>
  <c r="E10" i="59" s="1"/>
  <c r="E11" i="59" s="1"/>
  <c r="U11" i="59" s="1"/>
  <c r="AA8" i="59"/>
  <c r="C9" i="59"/>
  <c r="Y8" i="59"/>
  <c r="Z8" i="59" s="1"/>
  <c r="AB8" i="59"/>
  <c r="X10" i="59"/>
  <c r="AA10" i="59"/>
  <c r="X11" i="59"/>
  <c r="AA11" i="59"/>
  <c r="C13" i="59"/>
  <c r="Y12" i="59"/>
  <c r="Z12" i="59" s="1"/>
  <c r="AB12" i="59"/>
  <c r="X14" i="59"/>
  <c r="AA14" i="59"/>
  <c r="X15" i="59"/>
  <c r="AA15" i="59"/>
  <c r="C17" i="59"/>
  <c r="Y16" i="59"/>
  <c r="Z16" i="59" s="1"/>
  <c r="X17" i="59"/>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D10" i="11"/>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B5" i="1"/>
  <c r="C33" i="21" s="1"/>
  <c r="B27" i="31"/>
  <c r="B25" i="31" s="1"/>
  <c r="H102"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35" i="31"/>
  <c r="S72" i="31"/>
  <c r="S68" i="31"/>
  <c r="S64" i="31"/>
  <c r="S60" i="31"/>
  <c r="S100" i="31"/>
  <c r="S96" i="31"/>
  <c r="S92" i="31"/>
  <c r="S88" i="31"/>
  <c r="S84" i="31"/>
  <c r="S34" i="31"/>
  <c r="S102" i="31"/>
  <c r="S106" i="31"/>
  <c r="S110"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H36" i="39" s="1"/>
  <c r="AB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D101" i="37"/>
  <c r="F34" i="37"/>
  <c r="AA34" i="37" s="1"/>
  <c r="D99" i="37"/>
  <c r="E99" i="37"/>
  <c r="F99" i="37" s="1"/>
  <c r="G99" i="37" s="1"/>
  <c r="H42" i="34"/>
  <c r="J42" i="34"/>
  <c r="AC42" i="34" s="1"/>
  <c r="F42" i="34"/>
  <c r="J38" i="34"/>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F27" i="40" s="1"/>
  <c r="S27" i="40" s="1"/>
  <c r="D92" i="40"/>
  <c r="E92" i="40" s="1"/>
  <c r="F92" i="40" s="1"/>
  <c r="G92" i="40" s="1"/>
  <c r="D90" i="40"/>
  <c r="E90" i="40" s="1"/>
  <c r="D88" i="40"/>
  <c r="E88" i="40" s="1"/>
  <c r="F88" i="40" s="1"/>
  <c r="G88" i="40" s="1"/>
  <c r="D86" i="40"/>
  <c r="E86" i="40" s="1"/>
  <c r="D84" i="40"/>
  <c r="E84" i="40" s="1"/>
  <c r="B81" i="40"/>
  <c r="J14" i="40" s="1"/>
  <c r="W14" i="40" s="1"/>
  <c r="B79" i="40"/>
  <c r="B77"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C7" i="40"/>
  <c r="C63" i="40" s="1"/>
  <c r="C65"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AC28" i="37" s="1"/>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B91" i="36"/>
  <c r="B95" i="36"/>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H11" i="36" s="1"/>
  <c r="AB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F35" i="35" s="1"/>
  <c r="AA35" i="35" s="1"/>
  <c r="B97" i="35"/>
  <c r="B77" i="35"/>
  <c r="B75" i="35"/>
  <c r="B73" i="35"/>
  <c r="B57" i="35"/>
  <c r="B61" i="35"/>
  <c r="B59" i="35"/>
  <c r="H12" i="35" s="1"/>
  <c r="U12" i="35" s="1"/>
  <c r="B131" i="34"/>
  <c r="B129" i="34"/>
  <c r="F46" i="34" s="1"/>
  <c r="S46" i="34" s="1"/>
  <c r="B127" i="34"/>
  <c r="B99" i="34"/>
  <c r="F32" i="34" s="1"/>
  <c r="S32" i="34" s="1"/>
  <c r="B97" i="34"/>
  <c r="B95" i="34"/>
  <c r="F30" i="34" s="1"/>
  <c r="S30" i="34" s="1"/>
  <c r="B93" i="34"/>
  <c r="B75" i="34"/>
  <c r="B73" i="34"/>
  <c r="B71" i="34"/>
  <c r="H12" i="34" s="1"/>
  <c r="U12" i="34" s="1"/>
  <c r="B130" i="33"/>
  <c r="B128" i="33"/>
  <c r="J45" i="33" s="1"/>
  <c r="W45" i="33" s="1"/>
  <c r="B126" i="33"/>
  <c r="B98" i="33"/>
  <c r="B96" i="33"/>
  <c r="B94" i="33"/>
  <c r="H29" i="33" s="1"/>
  <c r="U29" i="33" s="1"/>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F45" i="39"/>
  <c r="J36" i="39"/>
  <c r="AC36" i="39" s="1"/>
  <c r="U38" i="39"/>
  <c r="H32" i="37"/>
  <c r="AB32" i="37" s="1"/>
  <c r="U8" i="37"/>
  <c r="F39" i="37"/>
  <c r="S30" i="37"/>
  <c r="W30" i="37"/>
  <c r="F29" i="36"/>
  <c r="AA29" i="36" s="1"/>
  <c r="F16" i="36"/>
  <c r="S16" i="36" s="1"/>
  <c r="U22" i="36"/>
  <c r="W23" i="36"/>
  <c r="W22" i="36"/>
  <c r="AA31" i="36"/>
  <c r="AC31" i="36"/>
  <c r="W31" i="36"/>
  <c r="H22" i="35"/>
  <c r="AB22" i="35" s="1"/>
  <c r="U9" i="35"/>
  <c r="U31" i="35"/>
  <c r="S31" i="35"/>
  <c r="W31" i="35"/>
  <c r="U32" i="35"/>
  <c r="F36" i="34"/>
  <c r="AA36" i="34" s="1"/>
  <c r="U39" i="34"/>
  <c r="H39" i="33"/>
  <c r="AB39" i="33" s="1"/>
  <c r="F26" i="33"/>
  <c r="AA26" i="33" s="1"/>
  <c r="S40" i="33"/>
  <c r="AC38" i="21"/>
  <c r="H39" i="37"/>
  <c r="AB39" i="37" s="1"/>
  <c r="F11" i="40"/>
  <c r="AA11" i="40" s="1"/>
  <c r="H11" i="40"/>
  <c r="AB11" i="40" s="1"/>
  <c r="U9" i="40"/>
  <c r="U34" i="40"/>
  <c r="S39" i="40"/>
  <c r="W39" i="40"/>
  <c r="F42" i="39"/>
  <c r="AA42" i="39" s="1"/>
  <c r="F41" i="39"/>
  <c r="AA41" i="39" s="1"/>
  <c r="H40" i="39"/>
  <c r="AB40" i="39" s="1"/>
  <c r="H39" i="39"/>
  <c r="H34" i="39"/>
  <c r="AB34" i="39" s="1"/>
  <c r="E109" i="39"/>
  <c r="F109" i="39"/>
  <c r="G109" i="39" s="1"/>
  <c r="H109" i="39" s="1"/>
  <c r="I109" i="39" s="1"/>
  <c r="J109" i="39" s="1"/>
  <c r="K109" i="39" s="1"/>
  <c r="L109" i="39" s="1"/>
  <c r="M109"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C25" i="39"/>
  <c r="H11" i="39"/>
  <c r="AB11" i="39" s="1"/>
  <c r="U33" i="21"/>
  <c r="H36" i="40"/>
  <c r="U36" i="40" s="1"/>
  <c r="F35" i="40"/>
  <c r="S35" i="40" s="1"/>
  <c r="J30" i="40"/>
  <c r="W30" i="40" s="1"/>
  <c r="F30" i="40"/>
  <c r="AA30" i="40" s="1"/>
  <c r="H27" i="40"/>
  <c r="U27" i="40" s="1"/>
  <c r="H23" i="40"/>
  <c r="AB23" i="40" s="1"/>
  <c r="J11" i="40"/>
  <c r="AB12" i="33"/>
  <c r="AA12" i="33"/>
  <c r="F37" i="39"/>
  <c r="S37" i="39" s="1"/>
  <c r="AC9" i="21"/>
  <c r="J34" i="36"/>
  <c r="J30" i="35"/>
  <c r="W30" i="35" s="1"/>
  <c r="H30" i="35"/>
  <c r="AB30" i="35" s="1"/>
  <c r="F22" i="35"/>
  <c r="AA22" i="35" s="1"/>
  <c r="H10" i="35"/>
  <c r="U10" i="35" s="1"/>
  <c r="AB29" i="36"/>
  <c r="E85" i="36"/>
  <c r="F85" i="36" s="1"/>
  <c r="G85" i="36" s="1"/>
  <c r="H85" i="36" s="1"/>
  <c r="I85" i="36" s="1"/>
  <c r="J85" i="36" s="1"/>
  <c r="K85" i="36" s="1"/>
  <c r="L85" i="36" s="1"/>
  <c r="M85" i="36" s="1"/>
  <c r="J29" i="36"/>
  <c r="AC29" i="36" s="1"/>
  <c r="F12" i="36"/>
  <c r="AA12" i="36" s="1"/>
  <c r="H20" i="36"/>
  <c r="J20" i="36"/>
  <c r="W20" i="36" s="1"/>
  <c r="AB8" i="36"/>
  <c r="F14" i="35"/>
  <c r="J32" i="35"/>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8" i="33"/>
  <c r="S8" i="33"/>
  <c r="F37" i="40"/>
  <c r="AA37" i="40" s="1"/>
  <c r="F36" i="40"/>
  <c r="AA36" i="40" s="1"/>
  <c r="J27" i="40"/>
  <c r="W27" i="40" s="1"/>
  <c r="F23" i="40"/>
  <c r="AA23" i="40" s="1"/>
  <c r="AB30" i="36"/>
  <c r="AC30" i="35"/>
  <c r="F29" i="35"/>
  <c r="S29" i="35" s="1"/>
  <c r="AB42" i="34"/>
  <c r="H38" i="34"/>
  <c r="U15" i="34"/>
  <c r="G113" i="33"/>
  <c r="H113" i="33" s="1"/>
  <c r="I113" i="33" s="1"/>
  <c r="J113" i="33" s="1"/>
  <c r="K113" i="33" s="1"/>
  <c r="L113" i="33" s="1"/>
  <c r="M113" i="33" s="1"/>
  <c r="H37" i="33"/>
  <c r="AB37" i="33" s="1"/>
  <c r="AA37" i="33"/>
  <c r="H36" i="33"/>
  <c r="U36" i="33" s="1"/>
  <c r="S25" i="33"/>
  <c r="F17" i="33"/>
  <c r="AA17" i="33" s="1"/>
  <c r="H15" i="33"/>
  <c r="AB15" i="33" s="1"/>
  <c r="W42" i="34"/>
  <c r="AA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AC29" i="33" s="1"/>
  <c r="F29" i="33"/>
  <c r="S29" i="33" s="1"/>
  <c r="H31" i="33"/>
  <c r="AB31" i="33" s="1"/>
  <c r="H45" i="33"/>
  <c r="U45" i="33" s="1"/>
  <c r="F45" i="33"/>
  <c r="S45" i="33" s="1"/>
  <c r="F14" i="34"/>
  <c r="H30" i="34"/>
  <c r="U30" i="34" s="1"/>
  <c r="J30" i="34"/>
  <c r="W30" i="34" s="1"/>
  <c r="H32" i="34"/>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35" i="35"/>
  <c r="AC35" i="35" s="1"/>
  <c r="F25" i="36"/>
  <c r="S25" i="36" s="1"/>
  <c r="F13" i="37"/>
  <c r="S13" i="37" s="1"/>
  <c r="F28" i="37"/>
  <c r="AA28" i="37" s="1"/>
  <c r="H28" i="37"/>
  <c r="U28" i="37" s="1"/>
  <c r="H38" i="37"/>
  <c r="AB38" i="37" s="1"/>
  <c r="J38" i="37"/>
  <c r="AC38" i="37" s="1"/>
  <c r="F38" i="37"/>
  <c r="S38" i="37" s="1"/>
  <c r="F43" i="39"/>
  <c r="AA43" i="39" s="1"/>
  <c r="J14" i="39"/>
  <c r="W14" i="39" s="1"/>
  <c r="H14" i="39"/>
  <c r="AB14" i="39"/>
  <c r="H12" i="40"/>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AB46" i="21"/>
  <c r="U14" i="21"/>
  <c r="AC14" i="21"/>
  <c r="S46" i="33"/>
  <c r="AC13" i="36"/>
  <c r="U32" i="36"/>
  <c r="AB45" i="33"/>
  <c r="U31" i="33"/>
  <c r="W29" i="33"/>
  <c r="S33" i="21"/>
  <c r="J41" i="39"/>
  <c r="W41" i="39" s="1"/>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B20" i="35"/>
  <c r="AC12" i="35"/>
  <c r="S28" i="37"/>
  <c r="U39" i="37"/>
  <c r="AC8" i="37"/>
  <c r="S25" i="37"/>
  <c r="W47" i="34"/>
  <c r="AB8" i="34"/>
  <c r="W14" i="33"/>
  <c r="AA30" i="33"/>
  <c r="AB10" i="33"/>
  <c r="S11" i="33"/>
  <c r="AA23" i="37"/>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D8" i="47"/>
  <c r="D6" i="47"/>
  <c r="F4" i="47" s="1"/>
  <c r="B2" i="47" s="1"/>
  <c r="H19" i="40"/>
  <c r="AB19" i="40" s="1"/>
  <c r="F19" i="40"/>
  <c r="S19" i="40" s="1"/>
  <c r="S13" i="40"/>
  <c r="S17"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36" i="37"/>
  <c r="S14" i="34"/>
  <c r="AA14" i="34"/>
  <c r="W44" i="21"/>
  <c r="AB38" i="34"/>
  <c r="U38" i="34"/>
  <c r="F40" i="34"/>
  <c r="AA40" i="34" s="1"/>
  <c r="G118" i="34"/>
  <c r="U20" i="36"/>
  <c r="AB20" i="36"/>
  <c r="AA16" i="36"/>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J12" i="39"/>
  <c r="AC12" i="39" s="1"/>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S44" i="21"/>
  <c r="AC36" i="40"/>
  <c r="F17" i="37"/>
  <c r="AA17" i="37" s="1"/>
  <c r="AA29" i="33"/>
  <c r="AB28" i="36"/>
  <c r="AB13" i="40"/>
  <c r="U44" i="33"/>
  <c r="U11" i="36"/>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B12" i="40"/>
  <c r="U12" i="40"/>
  <c r="AC14" i="39"/>
  <c r="AC46" i="34"/>
  <c r="AA32" i="34"/>
  <c r="U10" i="36"/>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K104"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J11" i="37"/>
  <c r="AC11" i="37" s="1"/>
  <c r="AC36" i="34"/>
  <c r="W12" i="39"/>
  <c r="W9" i="34"/>
  <c r="AB13" i="21"/>
  <c r="AC37" i="37"/>
  <c r="U38" i="40"/>
  <c r="F23" i="39"/>
  <c r="AA23" i="39" s="1"/>
  <c r="F97" i="39"/>
  <c r="G97" i="39" s="1"/>
  <c r="S26" i="37"/>
  <c r="S24" i="36"/>
  <c r="F44" i="34"/>
  <c r="F126" i="34"/>
  <c r="G126" i="34" s="1"/>
  <c r="J44" i="34"/>
  <c r="AC44" i="34" s="1"/>
  <c r="S40" i="21"/>
  <c r="U31" i="37"/>
  <c r="W27" i="37"/>
  <c r="H60" i="37"/>
  <c r="I60" i="37" s="1"/>
  <c r="H10" i="37"/>
  <c r="U10" i="37" s="1"/>
  <c r="S24" i="35"/>
  <c r="AB43" i="33"/>
  <c r="AB29" i="21"/>
  <c r="W27" i="36"/>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2" i="39" l="1"/>
  <c r="AB12" i="39"/>
  <c r="AC15" i="21"/>
  <c r="AC32" i="35"/>
  <c r="W32" i="35"/>
  <c r="W34" i="36"/>
  <c r="AC34" i="36"/>
  <c r="S39" i="37"/>
  <c r="AA39" i="37"/>
  <c r="G69" i="21"/>
  <c r="H69" i="21" s="1"/>
  <c r="I69" i="21" s="1"/>
  <c r="J69" i="21" s="1"/>
  <c r="K69" i="21" s="1"/>
  <c r="L69" i="21" s="1"/>
  <c r="M69" i="21" s="1"/>
  <c r="F11" i="21"/>
  <c r="S11" i="21" s="1"/>
  <c r="J11" i="21"/>
  <c r="AC11" i="21" s="1"/>
  <c r="AB40" i="33"/>
  <c r="U40" i="33"/>
  <c r="AA32" i="35"/>
  <c r="S32" i="35"/>
  <c r="H23" i="35"/>
  <c r="U23" i="35" s="1"/>
  <c r="J23" i="35"/>
  <c r="AC23" i="35" s="1"/>
  <c r="F23" i="35"/>
  <c r="AA23" i="35" s="1"/>
  <c r="J25" i="35"/>
  <c r="W25" i="35" s="1"/>
  <c r="H25" i="35"/>
  <c r="H34" i="36"/>
  <c r="F34" i="36"/>
  <c r="AA34" i="36" s="1"/>
  <c r="H33" i="36"/>
  <c r="F33" i="36"/>
  <c r="S33" i="36" s="1"/>
  <c r="AB31" i="36"/>
  <c r="U31" i="36"/>
  <c r="AB14" i="37"/>
  <c r="U14" i="37"/>
  <c r="AA44" i="39"/>
  <c r="S44" i="39"/>
  <c r="H44" i="39"/>
  <c r="J44" i="39"/>
  <c r="AA38" i="39"/>
  <c r="S38" i="39"/>
  <c r="AA8" i="40"/>
  <c r="S8" i="40"/>
  <c r="AC8" i="40"/>
  <c r="W8" i="40"/>
  <c r="AC41" i="21"/>
  <c r="W41" i="21"/>
  <c r="AC38" i="34"/>
  <c r="W38" i="34"/>
  <c r="AB34" i="37"/>
  <c r="U34" i="37"/>
  <c r="C24" i="9"/>
  <c r="C30" i="9"/>
  <c r="H56" i="43"/>
  <c r="AC11" i="34"/>
  <c r="U9" i="34"/>
  <c r="S31" i="21"/>
  <c r="AA27" i="33"/>
  <c r="AB27" i="37"/>
  <c r="S45" i="21"/>
  <c r="S17" i="37"/>
  <c r="AB34" i="21"/>
  <c r="U15" i="37"/>
  <c r="D103" i="43"/>
  <c r="G103" i="43"/>
  <c r="AA32" i="37"/>
  <c r="AB46" i="34"/>
  <c r="W44" i="33"/>
  <c r="C113" i="57"/>
  <c r="H108" i="57" s="1"/>
  <c r="W17" i="21"/>
  <c r="AC31" i="39"/>
  <c r="W10" i="36"/>
  <c r="AB38" i="21"/>
  <c r="S12" i="21"/>
  <c r="S19" i="21"/>
  <c r="AC11" i="36"/>
  <c r="S14" i="33"/>
  <c r="S47" i="34"/>
  <c r="H35" i="35"/>
  <c r="AB35" i="35" s="1"/>
  <c r="F25" i="35"/>
  <c r="S25" i="35" s="1"/>
  <c r="AC27" i="40"/>
  <c r="W11" i="40"/>
  <c r="AC11" i="40"/>
  <c r="H11" i="21"/>
  <c r="U11" i="21" s="1"/>
  <c r="F31" i="39"/>
  <c r="AA31" i="39" s="1"/>
  <c r="U39" i="39"/>
  <c r="AB39" i="39"/>
  <c r="W8" i="21"/>
  <c r="J33" i="36"/>
  <c r="F36" i="39"/>
  <c r="B71" i="43"/>
  <c r="C21" i="39"/>
  <c r="B74" i="43"/>
  <c r="C27" i="39"/>
  <c r="U11" i="33"/>
  <c r="AB11" i="33"/>
  <c r="H28" i="33"/>
  <c r="J28" i="33"/>
  <c r="AC9" i="35"/>
  <c r="W9" i="35"/>
  <c r="J13" i="33"/>
  <c r="AC13" i="33" s="1"/>
  <c r="F13" i="33"/>
  <c r="J31" i="33"/>
  <c r="F31" i="33"/>
  <c r="J14" i="34"/>
  <c r="H14" i="34"/>
  <c r="U14" i="34" s="1"/>
  <c r="H11" i="35"/>
  <c r="F11" i="35"/>
  <c r="H36" i="35"/>
  <c r="AB36" i="35" s="1"/>
  <c r="J36" i="35"/>
  <c r="AC36" i="35" s="1"/>
  <c r="AA27" i="35"/>
  <c r="S27" i="35"/>
  <c r="AA23" i="36"/>
  <c r="S23" i="36"/>
  <c r="H9" i="36"/>
  <c r="F9" i="36"/>
  <c r="H13" i="36"/>
  <c r="AB13" i="36" s="1"/>
  <c r="F13" i="36"/>
  <c r="S13" i="36" s="1"/>
  <c r="J25" i="36"/>
  <c r="AC25" i="36" s="1"/>
  <c r="H25" i="36"/>
  <c r="F32" i="36"/>
  <c r="J32" i="36"/>
  <c r="W32" i="36" s="1"/>
  <c r="AC31" i="37"/>
  <c r="W31" i="37"/>
  <c r="H13" i="37"/>
  <c r="J13" i="37"/>
  <c r="W13" i="37" s="1"/>
  <c r="AA8" i="39"/>
  <c r="S8" i="39"/>
  <c r="J43" i="39"/>
  <c r="H43" i="39"/>
  <c r="U43" i="39" s="1"/>
  <c r="H45" i="39"/>
  <c r="J45" i="39"/>
  <c r="AA34" i="40"/>
  <c r="S34" i="40"/>
  <c r="J12" i="40"/>
  <c r="F12" i="40"/>
  <c r="J33" i="40"/>
  <c r="AC33" i="40" s="1"/>
  <c r="H33" i="40"/>
  <c r="F34" i="15"/>
  <c r="F63" i="15" s="1"/>
  <c r="F34" i="65"/>
  <c r="F63" i="65" s="1"/>
  <c r="M20" i="65"/>
  <c r="J20" i="65" s="1"/>
  <c r="I21" i="58"/>
  <c r="D1" i="58"/>
  <c r="E10" i="58" s="1"/>
  <c r="F28" i="65"/>
  <c r="C28" i="65" s="1"/>
  <c r="M18" i="65"/>
  <c r="F32" i="65"/>
  <c r="F61" i="65" s="1"/>
  <c r="M21" i="15"/>
  <c r="F35" i="65"/>
  <c r="F64" i="65" s="1"/>
  <c r="M21" i="65"/>
  <c r="F7" i="15"/>
  <c r="F31" i="15" s="1"/>
  <c r="M29" i="65"/>
  <c r="C17" i="65"/>
  <c r="M7" i="65"/>
  <c r="J6" i="65" s="1"/>
  <c r="J5" i="65" s="1"/>
  <c r="F43" i="65"/>
  <c r="F72" i="65" s="1"/>
  <c r="F7" i="65"/>
  <c r="U42" i="21"/>
  <c r="W25" i="21"/>
  <c r="AC33" i="21"/>
  <c r="AB37" i="21"/>
  <c r="W11" i="21"/>
  <c r="S502" i="31"/>
  <c r="S506" i="31"/>
  <c r="S516" i="31"/>
  <c r="S512" i="31"/>
  <c r="S452" i="31"/>
  <c r="S448" i="31"/>
  <c r="S112" i="31"/>
  <c r="S108" i="31"/>
  <c r="S104" i="31"/>
  <c r="S32" i="31"/>
  <c r="S82" i="31"/>
  <c r="S86" i="31"/>
  <c r="S90" i="31"/>
  <c r="S94" i="31"/>
  <c r="S98" i="31"/>
  <c r="S58" i="31"/>
  <c r="S62" i="31"/>
  <c r="S66" i="31"/>
  <c r="S70" i="31"/>
  <c r="S74"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V27" i="31"/>
  <c r="V25" i="31" s="1"/>
  <c r="C35" i="57" s="1"/>
  <c r="D124" i="57" s="1"/>
  <c r="D125" i="57" s="1"/>
  <c r="X27" i="31"/>
  <c r="X25" i="31" s="1"/>
  <c r="C2" i="31"/>
  <c r="I23" i="31" s="1"/>
  <c r="F101" i="9"/>
  <c r="A121" i="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F24" i="65" s="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4" i="65" s="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I20" i="43" l="1"/>
  <c r="C20" i="43" s="1"/>
  <c r="L49" i="65"/>
  <c r="W33" i="40"/>
  <c r="AB33" i="40"/>
  <c r="U33" i="40"/>
  <c r="AA12" i="40"/>
  <c r="S12" i="40"/>
  <c r="AC45" i="39"/>
  <c r="W45" i="39"/>
  <c r="AB25" i="36"/>
  <c r="U25" i="36"/>
  <c r="S9" i="36"/>
  <c r="AA9" i="36"/>
  <c r="S11" i="35"/>
  <c r="AA11" i="35"/>
  <c r="AA31" i="33"/>
  <c r="S31" i="33"/>
  <c r="S13" i="33"/>
  <c r="AA13" i="33"/>
  <c r="AC28" i="33"/>
  <c r="W28" i="33"/>
  <c r="S36" i="39"/>
  <c r="AA36" i="39"/>
  <c r="AB44" i="39"/>
  <c r="U44" i="39"/>
  <c r="AB33" i="36"/>
  <c r="U33" i="36"/>
  <c r="U34" i="36"/>
  <c r="AB34" i="36"/>
  <c r="AC12" i="40"/>
  <c r="W12" i="40"/>
  <c r="U45" i="39"/>
  <c r="AB45" i="39"/>
  <c r="AC43" i="39"/>
  <c r="W43" i="39"/>
  <c r="U13" i="37"/>
  <c r="AB13" i="37"/>
  <c r="AA32" i="36"/>
  <c r="S32" i="36"/>
  <c r="AB9" i="36"/>
  <c r="U9" i="36"/>
  <c r="U11" i="35"/>
  <c r="AB11" i="35"/>
  <c r="W14" i="34"/>
  <c r="AC14" i="34"/>
  <c r="W31" i="33"/>
  <c r="AC31" i="33"/>
  <c r="U28" i="33"/>
  <c r="AB28" i="33"/>
  <c r="W33" i="36"/>
  <c r="AC33" i="36"/>
  <c r="W44" i="39"/>
  <c r="AC44" i="39"/>
  <c r="AB25" i="35"/>
  <c r="U25" i="35"/>
  <c r="F51" i="15"/>
  <c r="F60" i="15" s="1"/>
  <c r="C16" i="65"/>
  <c r="C15" i="65"/>
  <c r="C18" i="65"/>
  <c r="C19" i="65"/>
  <c r="F51" i="65"/>
  <c r="C50" i="65" s="1"/>
  <c r="C49" i="65" s="1"/>
  <c r="C6" i="65"/>
  <c r="C10" i="65"/>
  <c r="J26" i="65"/>
  <c r="J24" i="65"/>
  <c r="J18" i="65"/>
  <c r="C24" i="6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L57" i="65" l="1"/>
  <c r="L61" i="65"/>
  <c r="L59" i="65"/>
  <c r="J61" i="65"/>
  <c r="Q46" i="65" s="1"/>
  <c r="J60" i="65"/>
  <c r="J58" i="65"/>
  <c r="J56" i="65" s="1"/>
  <c r="J59" i="65" s="1"/>
  <c r="Q48" i="65" s="1"/>
  <c r="C5" i="65"/>
  <c r="C38" i="65" s="1"/>
  <c r="C32" i="65"/>
  <c r="C67" i="65"/>
  <c r="C61" i="65"/>
  <c r="C20" i="65"/>
  <c r="C23" i="65" s="1"/>
  <c r="B55" i="60"/>
  <c r="B53" i="60"/>
  <c r="G43" i="35"/>
  <c r="H43" i="35" s="1"/>
  <c r="Q59" i="15"/>
  <c r="K54" i="15"/>
  <c r="J54" i="15"/>
  <c r="F7" i="33"/>
  <c r="AA7" i="33" s="1"/>
  <c r="R48" i="33" s="1"/>
  <c r="R39" i="35"/>
  <c r="C38" i="35" s="1"/>
  <c r="D25" i="12"/>
  <c r="C25" i="11"/>
  <c r="C26" i="11"/>
  <c r="D22" i="11" s="1"/>
  <c r="C23" i="11"/>
  <c r="C24" i="11"/>
  <c r="H7" i="36"/>
  <c r="U7" i="36" s="1"/>
  <c r="B40" i="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Q71" i="65" l="1"/>
  <c r="Q58" i="65"/>
  <c r="T16" i="43"/>
  <c r="V16" i="43" s="1"/>
  <c r="C35" i="43"/>
  <c r="C34" i="43"/>
  <c r="C36" i="43"/>
  <c r="C33" i="43"/>
  <c r="M27" i="15"/>
  <c r="M27" i="65"/>
  <c r="Q64" i="65"/>
  <c r="Q55" i="65"/>
  <c r="C26" i="65"/>
  <c r="C29" i="65" s="1"/>
  <c r="Q47" i="65" s="1"/>
  <c r="B4" i="60"/>
  <c r="J14" i="65"/>
  <c r="J13" i="65" s="1"/>
  <c r="J23" i="65" s="1"/>
  <c r="C33" i="65"/>
  <c r="C31" i="65" s="1"/>
  <c r="C36" i="65"/>
  <c r="J19" i="65"/>
  <c r="J17" i="65" s="1"/>
  <c r="J22" i="65"/>
  <c r="C67" i="15"/>
  <c r="C61" i="15"/>
  <c r="S7" i="33"/>
  <c r="B33" i="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58" i="65" l="1"/>
  <c r="C65" i="65" s="1"/>
  <c r="C13" i="65"/>
  <c r="Q68" i="65" s="1"/>
  <c r="F41" i="15"/>
  <c r="F70" i="15" s="1"/>
  <c r="F41" i="65"/>
  <c r="C62" i="65"/>
  <c r="C60" i="65" s="1"/>
  <c r="C37" i="65"/>
  <c r="C30" i="65" s="1"/>
  <c r="C39" i="65" s="1"/>
  <c r="C40" i="65" s="1"/>
  <c r="J16" i="65"/>
  <c r="J25" i="65" s="1"/>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R27" i="3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57" i="65" l="1"/>
  <c r="C66" i="65" s="1"/>
  <c r="J34" i="65"/>
  <c r="F70" i="65"/>
  <c r="J29" i="65"/>
  <c r="Q54" i="65" s="1"/>
  <c r="Q60" i="65" s="1"/>
  <c r="S27" i="31"/>
  <c r="R28" i="31"/>
  <c r="C32" i="57"/>
  <c r="T27" i="31"/>
  <c r="C59" i="65"/>
  <c r="C68" i="65" s="1"/>
  <c r="C69" i="65" s="1"/>
  <c r="C72" i="65" s="1"/>
  <c r="Q67" i="65"/>
  <c r="Q66" i="65" s="1"/>
  <c r="C47" i="65"/>
  <c r="J38" i="65"/>
  <c r="J39" i="65" s="1"/>
  <c r="L52" i="65"/>
  <c r="B3" i="65"/>
  <c r="B2" i="65"/>
  <c r="C3" i="66" s="1"/>
  <c r="Q45" i="65"/>
  <c r="Q51" i="65" s="1"/>
  <c r="C43" i="65"/>
  <c r="J41" i="65"/>
  <c r="J42" i="65" s="1"/>
  <c r="C36" i="36"/>
  <c r="C49" i="34"/>
  <c r="C49" i="21"/>
  <c r="C49" i="33"/>
  <c r="C27" i="12"/>
  <c r="C25" i="12" s="1"/>
  <c r="C39" i="11"/>
  <c r="C20" i="15"/>
  <c r="C23" i="15" s="1"/>
  <c r="I63" i="40"/>
  <c r="H65" i="40"/>
  <c r="I68" i="39"/>
  <c r="H70" i="39"/>
  <c r="C26" i="43"/>
  <c r="B2" i="43" s="1"/>
  <c r="B3" i="43" s="1"/>
  <c r="C27" i="43"/>
  <c r="Q63" i="65" l="1"/>
  <c r="Q73" i="65" s="1"/>
  <c r="S28" i="31"/>
  <c r="T28" i="31"/>
  <c r="B3" i="66" s="1"/>
  <c r="D3" i="66" s="1"/>
  <c r="E3" i="66" s="1"/>
  <c r="S25" i="31"/>
  <c r="Q65" i="65"/>
  <c r="L58" i="65"/>
  <c r="M57" i="57"/>
  <c r="C43" i="11"/>
  <c r="C41" i="11" s="1"/>
  <c r="C32" i="12"/>
  <c r="B2" i="12" s="1"/>
  <c r="C46" i="11"/>
  <c r="C45" i="11" s="1"/>
  <c r="C26" i="15"/>
  <c r="C29" i="15" s="1"/>
  <c r="J60" i="15" s="1"/>
  <c r="J61" i="15" s="1"/>
  <c r="J68" i="39"/>
  <c r="I70" i="39"/>
  <c r="J63" i="40"/>
  <c r="I65" i="40"/>
  <c r="T25" i="31" l="1"/>
  <c r="B23" i="31" s="1"/>
  <c r="B2" i="31" s="1"/>
  <c r="C33" i="57" s="1"/>
  <c r="H124" i="57" s="1"/>
  <c r="I103" i="57" s="1"/>
  <c r="Q46" i="15"/>
  <c r="L47" i="15"/>
  <c r="C49" i="11"/>
  <c r="C51" i="11" s="1"/>
  <c r="C52" i="11" s="1"/>
  <c r="B3" i="11" s="1"/>
  <c r="B3" i="12"/>
  <c r="C13" i="15"/>
  <c r="Q47" i="15"/>
  <c r="J19" i="15"/>
  <c r="J17" i="15" s="1"/>
  <c r="C33" i="15"/>
  <c r="C31" i="15" s="1"/>
  <c r="J14" i="15"/>
  <c r="C58" i="15"/>
  <c r="C36" i="15"/>
  <c r="K68" i="39"/>
  <c r="J70" i="39"/>
  <c r="K63" i="40"/>
  <c r="J65" i="40"/>
  <c r="D109" i="57" l="1"/>
  <c r="D115" i="57" s="1"/>
  <c r="R25" i="31"/>
  <c r="B24" i="31" s="1"/>
  <c r="B3" i="31" s="1"/>
  <c r="C106" i="57"/>
  <c r="H125" i="57"/>
  <c r="I113" i="57"/>
  <c r="D46" i="57"/>
  <c r="I111" i="57"/>
  <c r="D128" i="57" s="1"/>
  <c r="M49" i="57"/>
  <c r="D119" i="57"/>
  <c r="D120" i="57" s="1"/>
  <c r="I116" i="57" s="1"/>
  <c r="I115" i="57"/>
  <c r="D132" i="57" s="1"/>
  <c r="C56" i="11"/>
  <c r="C57" i="11" s="1"/>
  <c r="J22" i="15"/>
  <c r="J13" i="15"/>
  <c r="J23" i="15" s="1"/>
  <c r="C62" i="15"/>
  <c r="C60" i="15" s="1"/>
  <c r="C65" i="15"/>
  <c r="J34" i="15"/>
  <c r="Q68" i="15"/>
  <c r="C37" i="15"/>
  <c r="C30" i="15" s="1"/>
  <c r="C39" i="15" s="1"/>
  <c r="C57" i="15"/>
  <c r="C66" i="15" s="1"/>
  <c r="L63" i="40"/>
  <c r="K65" i="40"/>
  <c r="L68" i="39"/>
  <c r="K70" i="39"/>
  <c r="C34" i="57" l="1"/>
  <c r="I124" i="57" s="1"/>
  <c r="C79" i="57"/>
  <c r="C74" i="57" s="1"/>
  <c r="C86" i="57"/>
  <c r="C94" i="57"/>
  <c r="C87" i="57" s="1"/>
  <c r="D56" i="57"/>
  <c r="M54" i="57" s="1"/>
  <c r="D53" i="57"/>
  <c r="D54" i="57"/>
  <c r="D49" i="57" s="1"/>
  <c r="M53" i="57" s="1"/>
  <c r="C73" i="57"/>
  <c r="C80" i="57" s="1"/>
  <c r="C65" i="57"/>
  <c r="C64" i="57" s="1"/>
  <c r="C68" i="57" s="1"/>
  <c r="C69" i="57" s="1"/>
  <c r="D55" i="57" s="1"/>
  <c r="D130" i="57"/>
  <c r="M50" i="57"/>
  <c r="C59" i="15"/>
  <c r="C68" i="15" s="1"/>
  <c r="C69" i="15" s="1"/>
  <c r="C72" i="15" s="1"/>
  <c r="J16" i="15"/>
  <c r="J25" i="15" s="1"/>
  <c r="J26" i="15" s="1"/>
  <c r="J29" i="15" s="1"/>
  <c r="C40" i="15"/>
  <c r="Q67" i="15"/>
  <c r="Q66" i="15" s="1"/>
  <c r="J38" i="15"/>
  <c r="M68" i="39"/>
  <c r="L70" i="39"/>
  <c r="M63" i="40"/>
  <c r="L65" i="40"/>
  <c r="C107" i="57" l="1"/>
  <c r="D110" i="57"/>
  <c r="D116" i="57" s="1"/>
  <c r="I112" i="57" s="1"/>
  <c r="D129" i="57" s="1"/>
  <c r="I104" i="57"/>
  <c r="C81" i="57"/>
  <c r="E81" i="57" s="1"/>
  <c r="E82" i="57" s="1"/>
  <c r="L69" i="57"/>
  <c r="M69" i="57" s="1"/>
  <c r="L67" i="57"/>
  <c r="M67" i="57" s="1"/>
  <c r="L65" i="57"/>
  <c r="M65" i="57" s="1"/>
  <c r="L68" i="57"/>
  <c r="M68" i="57" s="1"/>
  <c r="L66" i="57"/>
  <c r="M66" i="57" s="1"/>
  <c r="L64" i="57"/>
  <c r="M64" i="57" s="1"/>
  <c r="M70" i="57" s="1"/>
  <c r="N70" i="57" s="1"/>
  <c r="C96" i="57"/>
  <c r="B2" i="15"/>
  <c r="C47" i="15"/>
  <c r="J39" i="15"/>
  <c r="J41" i="15"/>
  <c r="J42" i="15" s="1"/>
  <c r="C43" i="15"/>
  <c r="L52" i="15"/>
  <c r="Q63" i="15"/>
  <c r="B3" i="15"/>
  <c r="Q45" i="15"/>
  <c r="Q51" i="15" s="1"/>
  <c r="Q54" i="15"/>
  <c r="N63" i="40"/>
  <c r="M65" i="40"/>
  <c r="N68" i="39"/>
  <c r="M70" i="39"/>
  <c r="E2" i="35"/>
  <c r="E2" i="37"/>
  <c r="D20" i="57"/>
  <c r="D19" i="9"/>
  <c r="E2" i="21"/>
  <c r="E2" i="36"/>
  <c r="E2" i="11"/>
  <c r="D20" i="9"/>
  <c r="E2" i="34"/>
  <c r="E2" i="33"/>
  <c r="C97" i="57" l="1"/>
  <c r="E97" i="57" s="1"/>
  <c r="E98" i="57" s="1"/>
  <c r="C82" i="57"/>
  <c r="D103" i="57"/>
  <c r="B2" i="36"/>
  <c r="B3" i="36" s="1"/>
  <c r="B2" i="34"/>
  <c r="B3" i="34" s="1"/>
  <c r="B2" i="35"/>
  <c r="B2" i="37"/>
  <c r="B3" i="37" s="1"/>
  <c r="B2" i="33"/>
  <c r="B3" i="33" s="1"/>
  <c r="B2" i="21"/>
  <c r="D101" i="9"/>
  <c r="B2" i="11"/>
  <c r="D102" i="9"/>
  <c r="Q65" i="15"/>
  <c r="L58" i="15"/>
  <c r="L61" i="15" s="1"/>
  <c r="O68" i="39"/>
  <c r="O70" i="39" s="1"/>
  <c r="N70" i="39"/>
  <c r="O63" i="40"/>
  <c r="O65" i="40" s="1"/>
  <c r="N65" i="40"/>
  <c r="D19" i="57"/>
  <c r="C19" i="57"/>
  <c r="C19" i="9"/>
  <c r="C98" i="57" l="1"/>
  <c r="D59" i="57" s="1"/>
  <c r="D57" i="57" s="1"/>
  <c r="M55" i="57" s="1"/>
  <c r="N58" i="57" s="1"/>
  <c r="C2" i="66"/>
  <c r="C4" i="66" s="1"/>
  <c r="B2" i="66"/>
  <c r="B4" i="66" s="1"/>
  <c r="C102" i="57"/>
  <c r="B3" i="21"/>
  <c r="Q64" i="15"/>
  <c r="Q73" i="15" s="1"/>
  <c r="Q55" i="15"/>
  <c r="Q60" i="15" s="1"/>
  <c r="D22" i="57"/>
  <c r="D102" i="57"/>
  <c r="G19" i="57"/>
  <c r="C105" i="57" s="1"/>
  <c r="C101" i="9"/>
  <c r="D22" i="9"/>
  <c r="G19" i="9"/>
  <c r="C32" i="9" s="1"/>
  <c r="H7" i="40"/>
  <c r="F7" i="40"/>
  <c r="J7" i="40"/>
  <c r="H7" i="39"/>
  <c r="F7" i="39"/>
  <c r="J7" i="39"/>
  <c r="C20" i="9"/>
  <c r="C20" i="57"/>
  <c r="C102" i="9" l="1"/>
  <c r="G20" i="9"/>
  <c r="P58" i="57"/>
  <c r="N59" i="57"/>
  <c r="N60" i="57"/>
  <c r="D4" i="66"/>
  <c r="E4" i="66" s="1"/>
  <c r="D2" i="66"/>
  <c r="E2" i="66" s="1"/>
  <c r="C103" i="57"/>
  <c r="G20" i="57"/>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N61" i="57" l="1"/>
  <c r="N62" i="57"/>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F121" i="9"/>
  <c r="F122" i="9" s="1"/>
  <c r="F5" i="52" s="1"/>
  <c r="B42" i="60" s="1"/>
  <c r="D121" i="9"/>
  <c r="E121" i="9" s="1"/>
  <c r="E4" i="52" s="1"/>
  <c r="B38" i="60" s="1"/>
  <c r="H121" i="9"/>
  <c r="D8" i="62" l="1"/>
  <c r="C8" i="62"/>
  <c r="C103" i="9"/>
  <c r="D14" i="62"/>
  <c r="G121" i="9"/>
  <c r="G4" i="52" s="1"/>
  <c r="B41" i="60" s="1"/>
  <c r="I102" i="9"/>
  <c r="I121" i="9"/>
  <c r="D106" i="9"/>
  <c r="D112" i="9" s="1"/>
  <c r="D122" i="9"/>
  <c r="D5" i="52" s="1"/>
  <c r="B39" i="60" s="1"/>
  <c r="H4" i="52"/>
  <c r="D4" i="52"/>
  <c r="B37" i="60" s="1"/>
  <c r="H122" i="9"/>
  <c r="H5" i="52" s="1"/>
  <c r="F4" i="52"/>
  <c r="B40" i="60" s="1"/>
  <c r="E14" i="62" l="1"/>
  <c r="F14" i="62"/>
  <c r="D117" i="9"/>
  <c r="I110" i="9"/>
  <c r="D28" i="50"/>
  <c r="D29" i="50" s="1"/>
  <c r="D45" i="9"/>
  <c r="M48" i="9"/>
  <c r="D7" i="50"/>
  <c r="D107" i="9"/>
  <c r="D113" i="9" s="1"/>
  <c r="I4" i="52"/>
  <c r="C104" i="9"/>
  <c r="I103" i="9"/>
  <c r="D30" i="50" l="1"/>
  <c r="D9" i="50"/>
  <c r="B21" i="60" s="1"/>
  <c r="D8" i="50"/>
  <c r="B22" i="60" s="1"/>
  <c r="B19" i="60"/>
  <c r="D52" i="9"/>
  <c r="C72" i="9"/>
  <c r="D55" i="9"/>
  <c r="M53" i="9" s="1"/>
  <c r="D53" i="9"/>
  <c r="D48" i="9" s="1"/>
  <c r="M52" i="9" s="1"/>
  <c r="C78" i="9"/>
  <c r="C73" i="9" s="1"/>
  <c r="D59" i="9"/>
  <c r="M55" i="9" s="1"/>
  <c r="C93" i="9"/>
  <c r="C86" i="9" s="1"/>
  <c r="C85" i="9"/>
  <c r="C64" i="9"/>
  <c r="C63" i="9" s="1"/>
  <c r="C67" i="9" s="1"/>
  <c r="C68" i="9" s="1"/>
  <c r="D54" i="9" s="1"/>
  <c r="D36" i="50"/>
  <c r="D37" i="50" s="1"/>
  <c r="D125" i="9"/>
  <c r="D15" i="50"/>
  <c r="D44" i="50"/>
  <c r="I115" i="9"/>
  <c r="D23" i="50" s="1"/>
  <c r="B34" i="60" s="1"/>
  <c r="D38" i="50"/>
  <c r="B62" i="60" s="1"/>
  <c r="I111" i="9"/>
  <c r="D8" i="52" l="1"/>
  <c r="G14" i="62"/>
  <c r="C95" i="9"/>
  <c r="C79" i="9"/>
  <c r="D17" i="50"/>
  <c r="D126" i="9"/>
  <c r="D9" i="52" s="1"/>
  <c r="B29" i="60"/>
  <c r="D16" i="50"/>
  <c r="B30" i="60" s="1"/>
  <c r="C96" i="9" l="1"/>
  <c r="E96" i="9" s="1"/>
  <c r="E97" i="9" s="1"/>
  <c r="C80" i="9"/>
  <c r="E80" i="9" s="1"/>
  <c r="E81" i="9" s="1"/>
  <c r="C97" i="9" l="1"/>
  <c r="D58" i="9" s="1"/>
  <c r="D56" i="9" s="1"/>
  <c r="M54" i="9" s="1"/>
  <c r="N57" i="9" s="1"/>
  <c r="C81" i="9"/>
  <c r="N59" i="9" l="1"/>
  <c r="N58" i="9"/>
  <c r="P57" i="9"/>
  <c r="N60" i="9" l="1"/>
  <c r="N61" i="9"/>
  <c r="D15" i="62" l="1"/>
  <c r="E15" i="62" l="1"/>
  <c r="F15" i="62"/>
  <c r="B5" i="62"/>
  <c r="D5" i="62" l="1"/>
  <c r="C5" i="62"/>
  <c r="G15" i="62" l="1"/>
  <c r="B6" i="62" s="1"/>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<sst xmlns="http://schemas.openxmlformats.org/spreadsheetml/2006/main" count="7196" uniqueCount="2969">
  <si>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</si>
  <si>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</si>
  <si>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</si>
  <si>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</si>
  <si>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</si>
  <si>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</si>
  <si>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</si>
  <si>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</si>
  <si>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</si>
  <si>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</si>
  <si>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</si>
  <si>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</si>
  <si>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</si>
  <si>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</si>
  <si>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</si>
  <si>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</si>
  <si>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</si>
  <si>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</si>
  <si>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</si>
  <si>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</si>
  <si>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</si>
  <si>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</si>
  <si>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</si>
  <si>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</si>
  <si>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</si>
  <si>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</si>
  <si>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</si>
  <si>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</si>
  <si>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</si>
  <si>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</si>
  <si>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</si>
  <si>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</si>
  <si>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</si>
  <si>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</si>
  <si>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</si>
  <si>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</si>
  <si>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</si>
  <si>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</si>
  <si>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</si>
  <si>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</si>
  <si>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</si>
  <si>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</si>
  <si>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</si>
  <si>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</si>
  <si>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</si>
  <si>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</si>
  <si>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</si>
  <si>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</si>
  <si>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</si>
  <si>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</si>
  <si>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</si>
  <si>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</si>
  <si>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</si>
  <si>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</si>
  <si>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</si>
  <si>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</si>
  <si>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</si>
  <si>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</si>
  <si>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</si>
  <si>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</si>
  <si>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</si>
  <si>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</si>
  <si>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</si>
  <si>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</si>
  <si>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</si>
  <si>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</si>
  <si>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</si>
  <si>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</si>
  <si>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</si>
  <si>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</si>
  <si>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</si>
  <si>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</si>
  <si>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</si>
  <si>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</si>
  <si>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</si>
  <si>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</si>
  <si>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</si>
  <si>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</si>
  <si>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</si>
  <si>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</si>
  <si>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</si>
  <si>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</si>
  <si>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</si>
  <si>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</si>
  <si>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</si>
  <si>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</si>
  <si>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</si>
  <si>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</si>
  <si>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</si>
  <si>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</si>
  <si>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</si>
  <si>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</si>
  <si>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</si>
  <si>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</si>
  <si>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</si>
  <si>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</si>
  <si>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</si>
  <si>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</si>
  <si>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</si>
  <si>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</si>
  <si>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</si>
  <si>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</si>
  <si>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</si>
  <si>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</si>
  <si>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</si>
  <si>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</si>
  <si>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</si>
  <si>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</si>
  <si>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</si>
  <si>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</si>
  <si>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</si>
  <si>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</si>
  <si>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</si>
  <si>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</si>
  <si>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</si>
  <si>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</si>
  <si>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</si>
  <si>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</si>
  <si>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</si>
  <si>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</si>
  <si>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</si>
  <si>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</si>
  <si>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</si>
  <si>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</si>
  <si>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</si>
  <si>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</si>
  <si>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</si>
  <si>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</si>
  <si>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</si>
  <si>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</si>
  <si>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</si>
  <si>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</si>
  <si>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</si>
  <si>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</si>
  <si>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</si>
  <si>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</si>
  <si>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</si>
  <si>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</si>
  <si>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</si>
  <si>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</si>
  <si>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</si>
  <si>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</si>
  <si>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</si>
  <si>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</si>
  <si>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</si>
  <si>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</si>
  <si>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</si>
  <si>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</si>
  <si>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</si>
  <si>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</si>
  <si>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</si>
  <si>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</si>
  <si>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</si>
  <si>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</si>
  <si>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</si>
  <si>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</si>
  <si>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</si>
  <si>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</si>
  <si>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</si>
  <si>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</si>
  <si>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</si>
  <si>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</si>
  <si>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</si>
  <si>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</si>
  <si>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</si>
  <si>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</si>
  <si>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</si>
  <si>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</si>
  <si>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</si>
  <si>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</si>
  <si>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</si>
  <si>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</si>
  <si>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</si>
  <si>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</si>
  <si>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</si>
  <si>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</si>
  <si>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</si>
  <si>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</si>
  <si>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</si>
  <si>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</si>
  <si>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</si>
  <si>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</si>
  <si>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</si>
  <si>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</si>
  <si>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</si>
  <si>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</si>
  <si>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</si>
  <si>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</si>
  <si>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</si>
  <si>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</si>
  <si>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</si>
  <si>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</si>
  <si>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</si>
  <si>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</si>
  <si>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</si>
  <si>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</si>
  <si>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</si>
  <si>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</si>
  <si>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</si>
  <si>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</si>
  <si>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</si>
  <si>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</si>
  <si>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</si>
  <si>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</si>
  <si>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</si>
  <si>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</si>
  <si>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</si>
  <si>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</si>
  <si>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</si>
  <si>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</si>
  <si>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</si>
  <si>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</si>
  <si>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</si>
  <si>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</si>
  <si>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</si>
  <si>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</si>
  <si>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</si>
  <si>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</si>
  <si>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</si>
  <si>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</si>
  <si>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</si>
  <si>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</si>
  <si>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</si>
  <si>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</si>
  <si>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</si>
  <si>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</si>
  <si>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</si>
  <si>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</si>
  <si>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</si>
  <si>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</si>
  <si>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</si>
  <si>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</si>
  <si>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</si>
  <si>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</si>
  <si>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</si>
  <si>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</si>
  <si>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</si>
  <si>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</si>
  <si>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</si>
  <si>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</si>
  <si>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</si>
  <si>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</si>
  <si>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</si>
  <si>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</si>
  <si>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</si>
  <si>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</si>
  <si>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</si>
  <si>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</si>
  <si>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</si>
  <si>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</si>
  <si>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</si>
  <si>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</si>
  <si>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</si>
  <si>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</si>
  <si>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</si>
  <si>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</si>
  <si>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</si>
  <si>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</si>
  <si>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</si>
  <si>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</si>
  <si>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</si>
  <si>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</si>
  <si>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</si>
  <si>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</si>
  <si>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</si>
  <si>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</si>
  <si>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</si>
  <si>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</si>
  <si>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</si>
  <si>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</si>
  <si>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</si>
  <si>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</si>
  <si>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</si>
  <si>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</si>
  <si>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</si>
  <si>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</si>
  <si>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</si>
  <si>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</si>
  <si>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</si>
  <si>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</si>
  <si>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</si>
  <si>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</si>
  <si>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</si>
  <si>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</si>
  <si>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</si>
  <si>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</si>
  <si>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</si>
  <si>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</si>
  <si>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</si>
  <si>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</si>
  <si>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</si>
  <si>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</si>
  <si>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</si>
  <si>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</si>
  <si>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</si>
  <si>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</si>
  <si>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</si>
  <si>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</si>
  <si>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</si>
  <si>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</si>
  <si>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</si>
  <si>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</si>
  <si>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</si>
  <si>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</si>
  <si>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</si>
  <si>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</si>
  <si>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</si>
  <si>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</si>
  <si>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</si>
  <si>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</si>
  <si>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</si>
  <si>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</si>
  <si>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</si>
  <si>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</si>
  <si>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</si>
  <si>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</si>
  <si>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</si>
  <si>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</si>
  <si>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</si>
  <si>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</si>
  <si>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</si>
  <si>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</si>
  <si>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</si>
  <si>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</si>
  <si>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</si>
  <si>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</si>
  <si>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</si>
  <si>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</si>
  <si>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</si>
  <si>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</si>
  <si>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</si>
  <si>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</si>
  <si>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</si>
  <si>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</si>
  <si>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</si>
  <si>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</si>
  <si>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</si>
  <si>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</si>
  <si>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</si>
  <si>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</si>
  <si>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</si>
  <si>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</si>
  <si>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</si>
  <si>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</si>
  <si>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</si>
  <si>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</si>
  <si>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</si>
  <si>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</si>
  <si>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</si>
  <si>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</si>
  <si>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</si>
  <si>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</si>
  <si>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</si>
  <si>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</si>
  <si>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</si>
  <si>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</si>
  <si>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</si>
  <si>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</si>
  <si>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</si>
  <si>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</si>
  <si>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</si>
  <si>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</si>
  <si>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</si>
  <si>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</si>
  <si>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</si>
  <si>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</si>
  <si>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</si>
  <si>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</si>
  <si>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</si>
  <si>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</si>
  <si>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</si>
  <si>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</si>
  <si>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</si>
  <si>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</si>
  <si>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</si>
  <si>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</si>
  <si>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</si>
  <si>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</si>
  <si>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</si>
  <si>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</si>
  <si>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</si>
  <si>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</si>
  <si>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</si>
  <si>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</si>
  <si>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</si>
  <si>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</si>
  <si>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</si>
  <si>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</si>
  <si>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</si>
  <si>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</si>
  <si>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</si>
  <si>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</si>
  <si>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</si>
  <si>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</si>
  <si>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</si>
  <si>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</si>
  <si>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</si>
  <si>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</si>
  <si>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</si>
  <si>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</si>
  <si>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</si>
  <si>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</si>
  <si>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</si>
  <si>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</si>
  <si>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</si>
  <si>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</si>
  <si>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</si>
  <si>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</si>
  <si>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</si>
  <si>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</si>
  <si>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</si>
  <si>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</si>
  <si>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</si>
  <si>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</si>
  <si>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</si>
  <si>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</si>
  <si>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</si>
  <si>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</si>
  <si>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</si>
  <si>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</si>
  <si>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</si>
  <si>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</si>
  <si>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</si>
  <si>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</si>
  <si>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</si>
  <si>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</si>
  <si>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</si>
  <si>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</si>
  <si>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</si>
  <si>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</si>
  <si>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</si>
  <si>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</si>
  <si>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</si>
  <si>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</si>
  <si>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</si>
  <si>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</si>
  <si>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</si>
  <si>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</si>
  <si>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</si>
  <si>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</si>
  <si>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</si>
  <si>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</si>
  <si>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</si>
  <si>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</si>
  <si>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</si>
  <si>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</si>
  <si>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</si>
  <si>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</si>
  <si>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</si>
  <si>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</si>
  <si>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</si>
  <si>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</si>
  <si>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</si>
  <si>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</si>
  <si>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</si>
  <si>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</si>
  <si>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</si>
  <si>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</si>
  <si>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</si>
  <si>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</si>
  <si>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</si>
  <si>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</si>
  <si>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</si>
  <si>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</si>
  <si>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</si>
  <si>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</si>
  <si>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</si>
  <si>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</si>
  <si>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</si>
  <si>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</si>
  <si>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</si>
  <si>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</si>
  <si>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</si>
  <si>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</si>
  <si>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</si>
  <si>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</si>
  <si>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</si>
  <si>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</si>
  <si>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</si>
  <si>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</si>
  <si>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</si>
  <si>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</si>
  <si>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</si>
  <si>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</si>
  <si>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</si>
  <si>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</si>
  <si>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</si>
  <si>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</si>
  <si>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</si>
  <si>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</si>
  <si>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</si>
  <si>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</si>
  <si>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</si>
  <si>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</si>
  <si>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</si>
  <si>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</si>
  <si>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</si>
  <si>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</si>
  <si>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</si>
  <si>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</si>
  <si>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</si>
  <si>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</si>
  <si>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</si>
  <si>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</si>
  <si>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</si>
  <si>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</si>
  <si>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</si>
  <si>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</si>
  <si>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</si>
  <si>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</si>
  <si>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</si>
  <si>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</si>
  <si>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</si>
  <si>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</si>
  <si>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</si>
  <si>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</si>
  <si>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</si>
  <si>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</si>
  <si>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</si>
  <si>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</si>
  <si>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</si>
  <si>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</si>
  <si>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</si>
  <si>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</si>
  <si>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</si>
  <si>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</si>
  <si>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</si>
  <si>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</si>
  <si>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</si>
  <si>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</si>
  <si>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</si>
  <si>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</si>
  <si>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</si>
  <si>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</si>
  <si>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</si>
  <si>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</si>
  <si>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</si>
  <si>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</si>
  <si>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</si>
  <si>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</si>
  <si>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</si>
  <si>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</si>
  <si>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</si>
  <si>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</si>
  <si>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</si>
  <si>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</si>
  <si>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</si>
  <si>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</si>
  <si>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</si>
  <si>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</si>
  <si>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</si>
  <si>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</si>
  <si>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</si>
  <si>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</si>
  <si>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</si>
  <si>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</si>
  <si>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</si>
  <si>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</si>
  <si>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</si>
  <si>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</si>
  <si>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</si>
  <si>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</si>
  <si>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</si>
  <si>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</si>
  <si>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</si>
  <si>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</si>
  <si>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</si>
  <si>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</si>
  <si>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</si>
  <si>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</si>
  <si>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</si>
  <si>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</si>
  <si>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</si>
  <si>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</si>
  <si>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</si>
  <si>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</si>
  <si>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</si>
  <si>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</si>
  <si>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</si>
  <si>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</si>
  <si>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</si>
  <si>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</si>
  <si>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</si>
  <si>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</si>
  <si>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</si>
  <si>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</si>
  <si>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</si>
  <si>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</si>
  <si>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</si>
  <si>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</si>
  <si>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</si>
  <si>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</si>
  <si>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</si>
  <si>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</si>
  <si>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</si>
  <si>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</si>
  <si>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</si>
  <si>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</si>
  <si>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</si>
  <si>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</si>
  <si>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</si>
  <si>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</si>
  <si>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</si>
  <si>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</si>
  <si>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</si>
  <si>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</si>
  <si>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</si>
  <si>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</si>
  <si>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</si>
  <si>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</si>
  <si>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</si>
  <si>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</si>
  <si>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</si>
  <si>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</si>
  <si>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</si>
  <si>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</si>
  <si>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</si>
  <si>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</si>
  <si>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</si>
  <si>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</si>
  <si>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</si>
  <si>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</si>
  <si>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</si>
  <si>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</si>
  <si>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</si>
  <si>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</si>
  <si>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</si>
  <si>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</si>
  <si>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</si>
  <si>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</si>
  <si>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</si>
  <si>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</si>
  <si>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</si>
  <si>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</si>
  <si>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</si>
  <si>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</si>
  <si>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</si>
  <si>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</si>
  <si>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</si>
  <si>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</si>
  <si>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</si>
  <si>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</si>
  <si>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</si>
  <si>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</si>
  <si>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</si>
  <si>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</si>
  <si>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</si>
  <si>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</si>
  <si>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</si>
  <si>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</si>
  <si>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</si>
  <si>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</si>
  <si>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</si>
  <si>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</si>
  <si>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</si>
  <si>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</si>
  <si>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</si>
  <si>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</si>
  <si>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</si>
  <si>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</si>
  <si>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</si>
  <si>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</si>
  <si>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</si>
  <si>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</si>
  <si>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</si>
  <si>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</si>
  <si>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</si>
  <si>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</si>
  <si>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</si>
  <si>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</si>
  <si>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</si>
  <si>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</si>
  <si>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</si>
  <si>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</si>
  <si>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</si>
  <si>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</si>
  <si>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</si>
  <si>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</si>
  <si>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</si>
  <si>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</si>
  <si>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</si>
  <si>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</si>
  <si>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</si>
  <si>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</si>
  <si>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</si>
  <si>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</si>
  <si>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</si>
  <si>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</si>
  <si>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</si>
  <si>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</si>
  <si>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</si>
  <si>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</si>
  <si>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</si>
  <si>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</si>
  <si>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</si>
  <si>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</si>
  <si>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</si>
  <si>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</si>
  <si>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</si>
  <si>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</si>
  <si>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</si>
  <si>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</si>
  <si>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</si>
  <si>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</si>
  <si>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</si>
  <si>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</si>
  <si>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</si>
  <si>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</si>
  <si>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</si>
  <si>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</si>
  <si>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</si>
  <si>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</si>
  <si>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</si>
  <si>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</si>
  <si>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</si>
  <si>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</si>
  <si>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</si>
  <si>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</si>
  <si>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</si>
  <si>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</si>
  <si>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</si>
  <si>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</si>
  <si>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</si>
  <si>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</si>
  <si>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</si>
  <si>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</si>
  <si>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</si>
  <si>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</si>
  <si>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</si>
  <si>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</si>
  <si>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</si>
  <si>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</si>
  <si>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</si>
  <si>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</si>
  <si>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</si>
  <si>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</si>
  <si>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</si>
  <si>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</si>
  <si>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</si>
  <si>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</si>
  <si>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</si>
  <si>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</si>
  <si>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</si>
  <si>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</si>
  <si>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</si>
  <si>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</si>
  <si>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</si>
  <si>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</si>
  <si>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</si>
  <si>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</si>
  <si>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</si>
  <si>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</si>
  <si>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</si>
  <si>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</si>
  <si>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</si>
  <si>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</si>
  <si>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</si>
  <si>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</si>
  <si>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</si>
  <si>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</si>
  <si>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</si>
  <si>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</si>
  <si>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</si>
  <si>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</si>
  <si>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</si>
  <si>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</si>
  <si>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</si>
  <si>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</si>
  <si>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</si>
  <si>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</si>
  <si>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</si>
  <si>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</si>
  <si>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</si>
  <si>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</si>
  <si>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</si>
  <si>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</si>
  <si>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</si>
  <si>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</si>
  <si>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</si>
  <si>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</si>
  <si>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</si>
  <si>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</si>
  <si>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</si>
  <si>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</si>
  <si>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</si>
  <si>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</si>
  <si>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</si>
  <si>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</si>
  <si>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</si>
  <si>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</si>
  <si>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</si>
  <si>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</si>
  <si>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</si>
  <si>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</si>
  <si>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</si>
  <si>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</si>
  <si>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</si>
  <si>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</si>
  <si>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</si>
  <si>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</si>
  <si>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</si>
  <si>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</si>
  <si>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</si>
  <si>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</si>
  <si>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</si>
  <si>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</si>
  <si>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</si>
  <si>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</si>
  <si>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</si>
  <si>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</si>
  <si>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</si>
  <si>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</si>
  <si>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</si>
  <si>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</si>
  <si>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</si>
  <si>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</si>
  <si>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</si>
  <si>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</si>
  <si>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</si>
  <si>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</si>
  <si>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</si>
  <si>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</si>
  <si>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</si>
  <si>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</si>
  <si>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</si>
  <si>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</si>
  <si>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</si>
  <si>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</si>
  <si>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</si>
  <si>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</si>
  <si>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</si>
  <si>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</si>
  <si>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</si>
  <si>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</si>
  <si>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</si>
  <si>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</si>
  <si>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</si>
  <si>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</si>
  <si>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</si>
  <si>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</si>
  <si>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</si>
  <si>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</si>
  <si>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</si>
  <si>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</si>
  <si>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</si>
  <si>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</si>
  <si>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</si>
  <si>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</si>
  <si>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</si>
  <si>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</si>
  <si>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</si>
  <si>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</si>
  <si>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</si>
  <si>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</si>
  <si>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</si>
  <si>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</si>
  <si>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</si>
  <si>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</si>
  <si>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</si>
  <si>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</si>
  <si>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</si>
  <si>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</si>
  <si>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</si>
  <si>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</si>
  <si>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</si>
  <si>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</si>
  <si>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</si>
  <si>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</si>
  <si>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</si>
  <si>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</si>
  <si>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</si>
  <si>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</si>
  <si>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</si>
  <si>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</si>
  <si>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</si>
  <si>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</si>
  <si>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</si>
  <si>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</si>
  <si>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</si>
  <si>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</si>
  <si>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</si>
  <si>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</si>
  <si>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</si>
  <si>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</si>
  <si>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</si>
  <si>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</si>
  <si>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</si>
  <si>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</si>
  <si>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</si>
  <si>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</si>
  <si>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</si>
  <si>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</si>
  <si>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</si>
  <si>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</si>
  <si>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</si>
  <si>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</si>
  <si>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</si>
  <si>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</si>
  <si>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</si>
  <si>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</si>
  <si>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</si>
  <si>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</si>
  <si>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</si>
  <si>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</si>
  <si>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</si>
  <si>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</si>
  <si>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</si>
  <si>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</si>
  <si>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</si>
  <si>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</si>
  <si>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</si>
  <si>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</si>
  <si>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</si>
  <si>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</si>
  <si>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</si>
  <si>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</si>
  <si>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</si>
  <si>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</si>
  <si>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</si>
  <si>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</si>
  <si>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</si>
  <si>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</si>
  <si>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</si>
  <si>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</si>
  <si>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</si>
  <si>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</si>
  <si>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</si>
  <si>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</si>
  <si>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</si>
  <si>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</si>
  <si>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</si>
  <si>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</si>
  <si>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</si>
  <si>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</si>
  <si>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</si>
  <si>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</si>
  <si>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</si>
  <si>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</si>
  <si>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</si>
  <si>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</si>
  <si>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</si>
  <si>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</si>
  <si>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</si>
  <si>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</si>
  <si>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</si>
  <si>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</si>
  <si>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</si>
  <si>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</si>
  <si>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</si>
  <si>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</si>
  <si>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</si>
  <si>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</si>
  <si>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</si>
  <si>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</si>
  <si>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</si>
  <si>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</si>
  <si>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</si>
  <si>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</si>
  <si>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</si>
  <si>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</si>
  <si>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</si>
  <si>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</si>
  <si>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</si>
  <si>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</si>
  <si>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</si>
  <si>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</si>
  <si>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</si>
  <si>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</si>
  <si>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</si>
  <si>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</si>
  <si>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</si>
  <si>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</si>
  <si>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</si>
  <si>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</si>
  <si>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</si>
  <si>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</si>
  <si>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</si>
  <si>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</si>
  <si>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</si>
  <si>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</si>
  <si>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</si>
  <si>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</si>
  <si>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</si>
  <si>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</si>
  <si>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</si>
  <si>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</si>
  <si>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</si>
  <si>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</si>
  <si>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</si>
  <si>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</si>
  <si>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</si>
  <si>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</si>
  <si>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</si>
  <si>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</si>
  <si>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</si>
  <si>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</si>
  <si>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</si>
  <si>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</si>
  <si>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</si>
  <si>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</si>
  <si>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</si>
  <si>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</si>
  <si>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</si>
  <si>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</si>
  <si>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</si>
  <si>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</si>
  <si>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</si>
  <si>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</si>
  <si>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</si>
  <si>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</si>
  <si>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</si>
  <si>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</si>
  <si>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</si>
  <si>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</si>
  <si>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</si>
  <si>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</si>
  <si>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</si>
  <si>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</si>
  <si>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</si>
  <si>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</si>
  <si>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</si>
  <si>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</si>
  <si>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</si>
  <si>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</si>
  <si>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</si>
  <si>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</si>
  <si>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</si>
  <si>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</si>
  <si>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</si>
  <si>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</si>
  <si>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</si>
  <si>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</si>
  <si>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</si>
  <si>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</si>
  <si>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</si>
  <si>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</si>
  <si>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</si>
  <si>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</si>
  <si>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</si>
  <si>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</si>
  <si>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</si>
  <si>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</si>
  <si>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</si>
  <si>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</si>
  <si>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</si>
  <si>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</si>
  <si>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</si>
  <si>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</si>
  <si>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</si>
  <si>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</si>
  <si>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</si>
  <si>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</si>
  <si>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</si>
  <si>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</si>
  <si>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</si>
  <si>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</si>
  <si>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</si>
  <si>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</si>
  <si>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</si>
  <si>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</si>
  <si>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</si>
  <si>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</si>
  <si>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</si>
  <si>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</si>
  <si>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</si>
  <si>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</si>
  <si>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</si>
  <si>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</si>
  <si>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</si>
  <si>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</si>
  <si>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</si>
  <si>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</si>
  <si>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</si>
  <si>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</si>
  <si>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</si>
  <si>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</si>
  <si>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</si>
  <si>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</si>
  <si>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</si>
  <si>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</si>
  <si>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</si>
  <si>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</si>
  <si>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</si>
  <si>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</si>
  <si>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</si>
  <si>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</si>
  <si>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</si>
  <si>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</si>
  <si>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</si>
  <si>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</si>
  <si>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</si>
  <si>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</si>
  <si>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</si>
  <si>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</si>
  <si>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</si>
  <si>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</si>
  <si>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</si>
  <si>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</si>
  <si>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</si>
  <si>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</si>
  <si>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</si>
  <si>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</si>
  <si>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</si>
  <si>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</si>
  <si>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</si>
  <si>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</si>
  <si>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</si>
  <si>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</si>
  <si>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</si>
  <si>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</si>
  <si>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</si>
  <si>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</si>
  <si>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</si>
  <si>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</si>
  <si>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</si>
  <si>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</si>
  <si>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</si>
  <si>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</si>
  <si>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</si>
  <si>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</si>
  <si>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</si>
  <si>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</si>
  <si>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</si>
  <si>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</si>
  <si>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</si>
  <si>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</si>
  <si>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</si>
  <si>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</si>
  <si>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</si>
  <si>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</si>
  <si>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</si>
  <si>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</si>
  <si>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</si>
  <si>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</si>
  <si>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</si>
  <si>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</si>
  <si>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</si>
  <si>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</si>
  <si>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</si>
  <si>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</si>
  <si>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</si>
  <si>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</si>
  <si>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</si>
  <si>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</si>
  <si>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</si>
  <si>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</si>
  <si>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</si>
  <si>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</si>
  <si>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</si>
  <si>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</si>
  <si>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</si>
  <si>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</si>
  <si>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</si>
  <si>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</si>
  <si>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</si>
  <si>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</si>
  <si>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</si>
  <si>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</si>
  <si>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</si>
  <si>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</si>
  <si>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</si>
  <si>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</si>
  <si>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</si>
  <si>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</si>
  <si>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</si>
  <si>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</si>
  <si>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</si>
  <si>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</si>
  <si>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</si>
  <si>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</si>
  <si>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</si>
  <si>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</si>
  <si>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</si>
  <si>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</si>
  <si>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</si>
  <si>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</si>
  <si>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</si>
  <si>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</si>
  <si>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</si>
  <si>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</si>
  <si>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</si>
  <si>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</si>
  <si>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</si>
  <si>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</si>
  <si>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</si>
  <si>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</si>
  <si>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</si>
  <si>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</si>
  <si>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</si>
  <si>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</si>
  <si>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</si>
  <si>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</si>
  <si>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</si>
  <si>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</si>
  <si>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</si>
  <si>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</si>
  <si>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</si>
  <si>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</si>
  <si>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</si>
  <si>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</si>
  <si>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</si>
  <si>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</si>
  <si>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</si>
  <si>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</si>
  <si>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</si>
  <si>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</si>
  <si>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</si>
  <si>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</si>
  <si>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</si>
  <si>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</si>
  <si>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</si>
  <si>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</si>
  <si>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</si>
  <si>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</si>
  <si>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</si>
  <si>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</si>
  <si>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</si>
  <si>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</si>
  <si>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</si>
  <si>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</si>
  <si>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</si>
  <si>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</si>
  <si>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</si>
  <si>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</si>
  <si>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</si>
  <si>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</si>
  <si>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</si>
  <si>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</si>
  <si>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</si>
  <si>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</si>
  <si>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</si>
  <si>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</si>
  <si>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</si>
  <si>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</si>
  <si>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</si>
  <si>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</si>
  <si>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</si>
  <si>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</si>
  <si>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</si>
  <si>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</si>
  <si>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</si>
  <si>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</si>
  <si>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</si>
  <si>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</si>
  <si>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</si>
  <si>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</si>
  <si>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</si>
  <si>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</si>
  <si>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</si>
  <si>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</si>
  <si>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</si>
  <si>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</si>
  <si>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</si>
  <si>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</si>
  <si>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</si>
  <si>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</si>
  <si>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</si>
  <si>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</si>
  <si>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</si>
  <si>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</si>
  <si>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</si>
  <si>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</si>
  <si>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</si>
  <si>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</si>
  <si>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</si>
  <si>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</si>
  <si>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</si>
  <si>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</si>
  <si>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</si>
  <si>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</si>
  <si>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</si>
  <si>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</si>
  <si>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</si>
  <si>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</si>
  <si>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</si>
  <si>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</si>
  <si>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</si>
  <si>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</si>
  <si>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</si>
  <si>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</si>
  <si>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</si>
  <si>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</si>
  <si>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</si>
  <si>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</si>
  <si>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</si>
  <si>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</si>
  <si>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</si>
  <si>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</si>
  <si>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</si>
  <si>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</si>
  <si>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</si>
  <si>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</si>
  <si>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</si>
  <si>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</si>
  <si>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</si>
  <si>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</si>
  <si>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</si>
  <si>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</si>
  <si>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</si>
  <si>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</si>
  <si>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</si>
  <si>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</si>
  <si>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</si>
  <si>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</si>
  <si>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</si>
  <si>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</si>
  <si>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</si>
  <si>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</si>
  <si>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</si>
  <si>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</si>
  <si>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</si>
  <si>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</si>
  <si>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</si>
  <si>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</si>
  <si>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</si>
  <si>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</si>
  <si>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</si>
  <si>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</si>
  <si>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</si>
  <si>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</si>
  <si>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</si>
  <si>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</si>
  <si>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</si>
  <si>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</si>
  <si>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</si>
  <si>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</si>
  <si>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</si>
  <si>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</si>
  <si>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</si>
  <si>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</si>
  <si>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</si>
  <si>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</si>
  <si>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</si>
  <si>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</si>
  <si>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</si>
  <si>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</si>
  <si>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</si>
  <si>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</si>
  <si>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</si>
  <si>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</si>
  <si>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</si>
  <si>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</si>
  <si>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</si>
  <si>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</si>
  <si>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</si>
  <si>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</si>
  <si>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</si>
  <si>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</si>
  <si>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</si>
  <si>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</si>
  <si>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</si>
  <si>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</si>
  <si>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</si>
  <si>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</si>
  <si>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</si>
  <si>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</si>
  <si>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</si>
  <si>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</si>
  <si>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</si>
  <si>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</si>
  <si>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</si>
  <si>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</si>
  <si>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</si>
  <si>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</si>
  <si>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</si>
  <si>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</si>
  <si>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</si>
  <si>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</si>
  <si>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</si>
  <si>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</si>
  <si>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</si>
  <si>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</si>
  <si>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</si>
  <si>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</si>
  <si>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</si>
  <si>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</si>
  <si>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</si>
  <si>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</si>
  <si>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</si>
  <si>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</si>
  <si>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</si>
  <si>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</si>
  <si>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</si>
  <si>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</si>
  <si>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</si>
  <si>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</si>
  <si>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</si>
  <si>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</si>
  <si>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</si>
  <si>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</si>
  <si>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</si>
  <si>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</si>
  <si>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</si>
  <si>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</si>
  <si>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</si>
  <si>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</si>
  <si>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</si>
  <si>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</si>
  <si>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</si>
  <si>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</si>
  <si>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</si>
  <si>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</si>
  <si>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</si>
  <si>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</si>
  <si>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</si>
  <si>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</si>
  <si>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</si>
  <si>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</si>
  <si>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</si>
  <si>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</si>
  <si>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</si>
  <si>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</si>
  <si>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</si>
  <si>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</si>
  <si>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</si>
  <si>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</si>
  <si>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</si>
  <si>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</si>
  <si>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</si>
  <si>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</si>
  <si>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</si>
  <si>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</si>
  <si>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</si>
  <si>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</si>
  <si>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</si>
  <si>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</si>
  <si>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</si>
  <si>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</si>
  <si>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</si>
  <si>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</si>
  <si>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</si>
  <si>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</si>
  <si>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</si>
  <si>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</si>
  <si>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</si>
  <si>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</si>
  <si>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</si>
  <si>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</si>
  <si>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</si>
  <si>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</si>
  <si>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</si>
  <si>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</si>
  <si>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</si>
  <si>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</si>
  <si>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</si>
  <si>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</si>
  <si>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</si>
  <si>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</si>
  <si>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</si>
  <si>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</si>
  <si>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</si>
  <si>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</si>
  <si>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</si>
  <si>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</si>
  <si>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</si>
  <si>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</si>
  <si>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</si>
  <si>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</si>
  <si>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</si>
  <si>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</si>
  <si>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</si>
  <si>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</si>
  <si>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</si>
  <si>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</si>
  <si>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</si>
  <si>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</si>
  <si>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</si>
  <si>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</si>
  <si>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</si>
  <si>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</si>
  <si>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</si>
  <si>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</si>
  <si>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</si>
  <si>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</si>
  <si>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</si>
  <si>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</si>
  <si>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</si>
  <si>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</si>
  <si>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</si>
  <si>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</si>
  <si>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</si>
  <si>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</si>
  <si>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</si>
  <si>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</si>
  <si>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</si>
  <si>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</si>
  <si>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</si>
  <si>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</si>
  <si>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</si>
  <si>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</si>
  <si>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</si>
  <si>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</si>
  <si>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</si>
  <si>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</si>
  <si>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</si>
  <si>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</si>
  <si>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</si>
  <si>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</si>
  <si>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</si>
  <si>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</si>
  <si>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</si>
  <si>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</si>
  <si>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</si>
  <si>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</si>
  <si>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</si>
  <si>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</si>
  <si>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</si>
  <si>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</si>
  <si>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</si>
  <si>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</si>
  <si>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</si>
  <si>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</si>
  <si>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</si>
  <si>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</si>
  <si>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</si>
  <si>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</si>
  <si>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</si>
  <si>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</si>
  <si>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</si>
  <si>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</si>
  <si>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</si>
  <si>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</si>
  <si>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</si>
  <si>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</si>
  <si>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</si>
  <si>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</si>
  <si>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</si>
  <si>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</si>
  <si>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</si>
  <si>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</si>
  <si>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</si>
  <si>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</si>
  <si>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</si>
  <si>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</si>
  <si>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</si>
  <si>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</si>
  <si>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</si>
  <si>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</si>
  <si>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</si>
  <si>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</si>
  <si>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</si>
  <si>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</si>
  <si>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</si>
  <si>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</si>
  <si>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</si>
  <si>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</si>
  <si>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</si>
  <si>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</si>
  <si>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</si>
  <si>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</si>
  <si>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</si>
  <si>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</si>
  <si>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</si>
  <si>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</si>
  <si>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</si>
  <si>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</si>
  <si>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</si>
  <si>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</si>
  <si>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</si>
  <si>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</si>
  <si>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</si>
  <si>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</si>
  <si>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</si>
  <si>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</si>
  <si>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</si>
  <si>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</si>
  <si>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</si>
  <si>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</si>
  <si>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</si>
  <si>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</si>
  <si>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</si>
  <si>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</si>
  <si>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</si>
  <si>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</si>
  <si>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</si>
  <si>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</si>
  <si>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</si>
  <si>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</si>
  <si>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</si>
  <si>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</si>
  <si>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</si>
  <si>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</si>
  <si>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</si>
  <si>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</si>
  <si>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</si>
  <si>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</si>
  <si>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</si>
  <si>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</si>
  <si>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</si>
  <si>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</si>
  <si>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</si>
  <si>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</si>
  <si>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</si>
  <si>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</si>
  <si>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</si>
  <si>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</si>
  <si>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</si>
  <si>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</si>
  <si>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</si>
  <si>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</si>
  <si>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</si>
  <si>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</si>
  <si>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</si>
  <si>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</si>
  <si>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</si>
  <si>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</si>
  <si>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</si>
  <si>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</si>
  <si>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</si>
  <si>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</si>
  <si>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</si>
  <si>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</si>
  <si>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</si>
  <si>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</si>
  <si>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</si>
  <si>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</si>
  <si>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</si>
  <si>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</si>
  <si>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</si>
  <si>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</si>
  <si>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</si>
  <si>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</si>
  <si>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</si>
  <si>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</si>
  <si>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</si>
  <si>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</si>
  <si>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</si>
  <si>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</si>
  <si>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</si>
  <si>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</si>
  <si>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</si>
  <si>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</si>
  <si>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</si>
  <si>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</si>
  <si>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</si>
  <si>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</si>
  <si>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</si>
  <si>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</si>
  <si>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</si>
  <si>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</si>
  <si>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</si>
  <si>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</si>
  <si>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</si>
  <si>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</si>
  <si>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</si>
  <si>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</si>
  <si>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</si>
  <si>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</si>
  <si>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</si>
  <si>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</si>
  <si>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</si>
  <si>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</si>
  <si>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</si>
  <si>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</si>
  <si>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</si>
  <si>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</si>
  <si>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</si>
  <si>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</si>
  <si>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</si>
  <si>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</si>
  <si>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</si>
  <si>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</si>
  <si>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</si>
  <si>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</si>
  <si>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</si>
  <si>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</si>
  <si>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</si>
  <si>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</si>
  <si>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</si>
  <si>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</si>
  <si>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</si>
  <si>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</si>
  <si>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</si>
  <si>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</si>
  <si>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</si>
  <si>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</si>
  <si>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</si>
  <si>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</si>
  <si>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</si>
  <si>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</si>
  <si>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</si>
  <si>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</si>
  <si>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</si>
  <si>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</si>
  <si>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</si>
  <si>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</si>
  <si>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</si>
  <si>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</si>
  <si>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</si>
  <si>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</si>
  <si>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</si>
  <si>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</si>
  <si>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</si>
  <si>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</si>
  <si>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</si>
  <si>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</si>
  <si>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</si>
  <si>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</si>
  <si>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</si>
  <si>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</si>
  <si>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</si>
  <si>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</si>
  <si>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</si>
  <si>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</si>
  <si>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</si>
  <si>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</si>
  <si>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</si>
  <si>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</si>
  <si>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</si>
  <si>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</si>
  <si>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</si>
  <si>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</si>
  <si>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</si>
  <si>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</si>
  <si>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</si>
  <si>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</si>
  <si>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</si>
  <si>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</si>
  <si>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</si>
  <si>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</si>
  <si>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</si>
  <si>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</si>
  <si>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</si>
  <si>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</si>
  <si>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</si>
  <si>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</si>
  <si>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</si>
  <si>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</si>
  <si>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</si>
  <si>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</si>
  <si>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</si>
  <si>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</si>
  <si>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</si>
  <si>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</si>
  <si>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</si>
  <si>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</si>
  <si>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</si>
  <si>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</si>
  <si>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</si>
  <si>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</si>
  <si>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</si>
  <si>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</si>
  <si>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</si>
  <si>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</si>
  <si>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</si>
  <si>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</si>
  <si>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</si>
  <si>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</si>
  <si>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</si>
  <si>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</si>
  <si>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</si>
  <si>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</si>
  <si>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</si>
  <si>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</si>
  <si>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</si>
  <si>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</si>
  <si>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</si>
  <si>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</si>
  <si>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</si>
  <si>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</si>
  <si>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</si>
  <si>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</si>
  <si>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</si>
  <si>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</si>
  <si>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</si>
  <si>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</si>
  <si>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</si>
  <si>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</si>
  <si>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</si>
  <si>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</si>
  <si>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</si>
  <si>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</si>
  <si>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</si>
  <si>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</si>
  <si>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</si>
  <si>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</si>
  <si>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</si>
  <si>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</si>
  <si>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</si>
  <si>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</si>
  <si>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</si>
  <si>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</si>
  <si>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</si>
  <si>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</si>
  <si>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</si>
  <si>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</si>
  <si>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</si>
  <si>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</si>
  <si>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</si>
  <si>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</si>
  <si>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</si>
  <si>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</si>
  <si>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</si>
  <si>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</si>
  <si>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</si>
  <si>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</si>
  <si>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</si>
  <si>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</si>
  <si>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</si>
  <si>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</si>
  <si>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</si>
  <si>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</si>
  <si>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</si>
  <si>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</si>
  <si>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</si>
  <si>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</si>
  <si>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</si>
  <si>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</si>
  <si>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</si>
  <si>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</si>
  <si>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</si>
  <si>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</si>
  <si>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</si>
  <si>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</si>
  <si>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</si>
  <si>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</si>
  <si>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</si>
  <si>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</si>
  <si>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</si>
  <si>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</si>
  <si>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</si>
  <si>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</si>
  <si>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</si>
  <si>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</si>
  <si>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</si>
  <si>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</si>
  <si>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</si>
  <si>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</si>
  <si>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</si>
  <si>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</si>
  <si>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</si>
  <si>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</si>
  <si>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</si>
  <si>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</si>
  <si>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</si>
  <si>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</si>
  <si>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</si>
  <si>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</si>
  <si>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</si>
  <si>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</si>
  <si>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</si>
  <si>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</si>
  <si>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</si>
  <si>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</si>
  <si>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</si>
  <si>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</si>
  <si>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</si>
  <si>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</si>
  <si>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</si>
  <si>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</si>
  <si>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</si>
  <si>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</si>
  <si>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</si>
  <si>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</si>
  <si>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</si>
  <si>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</si>
  <si>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</si>
  <si>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</si>
  <si>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</si>
  <si>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</si>
  <si>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</si>
  <si>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</si>
  <si>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</si>
  <si>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</si>
  <si>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</si>
  <si>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</si>
  <si>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</si>
  <si>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</si>
  <si>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</si>
  <si>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</si>
  <si>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</si>
  <si>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</si>
  <si>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</si>
  <si>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</si>
  <si>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</si>
  <si>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</si>
  <si>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</si>
  <si>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</si>
  <si>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</si>
  <si>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</si>
  <si>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</si>
  <si>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</si>
  <si>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</si>
  <si>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</si>
  <si>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</si>
  <si>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</si>
  <si>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</si>
  <si>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</si>
  <si>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</si>
  <si>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</si>
  <si>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</si>
  <si>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</si>
  <si>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</si>
  <si>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</si>
  <si>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</si>
  <si>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</si>
  <si>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</si>
  <si>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</si>
  <si>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</si>
  <si>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</si>
  <si>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</si>
  <si>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</si>
  <si>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</si>
  <si>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</si>
  <si>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</si>
  <si>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</si>
  <si>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</si>
  <si>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</si>
  <si>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</si>
  <si>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</si>
  <si>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</si>
  <si>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</si>
  <si>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</si>
  <si>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</si>
  <si>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</si>
  <si>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</si>
  <si>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</si>
  <si>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</si>
  <si>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</si>
  <si>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</si>
  <si>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</si>
  <si>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</si>
  <si>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</si>
  <si>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</si>
  <si>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</si>
  <si>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</si>
  <si>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</si>
  <si>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</si>
  <si>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</si>
  <si>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</si>
  <si>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</si>
  <si>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</si>
  <si>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</si>
  <si>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</si>
  <si>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</si>
  <si>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</si>
  <si>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</si>
  <si>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</si>
  <si>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</si>
  <si>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</si>
  <si>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</si>
  <si>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</si>
  <si>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</si>
  <si>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</si>
  <si>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</si>
  <si>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</si>
  <si>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</si>
  <si>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</si>
  <si>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</si>
  <si>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</si>
  <si>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</si>
  <si>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</si>
  <si>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</si>
  <si>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</si>
  <si>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</si>
  <si>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</si>
  <si>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</si>
  <si>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</si>
  <si>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</si>
  <si>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</si>
  <si>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</si>
  <si>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</si>
  <si>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</si>
  <si>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</si>
  <si>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</si>
  <si>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</si>
  <si>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</si>
  <si>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</si>
  <si>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</si>
  <si>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</si>
  <si>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</si>
  <si>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</si>
  <si>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</si>
  <si>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</si>
  <si>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</si>
  <si>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</si>
  <si>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</si>
  <si>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</si>
  <si>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</si>
  <si>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</si>
  <si>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</si>
  <si>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</si>
  <si>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</si>
  <si>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</si>
  <si>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</si>
  <si>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</si>
  <si>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</si>
  <si>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</si>
  <si>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</si>
  <si>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</si>
  <si>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</si>
  <si>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</si>
  <si>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</si>
  <si>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</si>
  <si>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</si>
  <si>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</si>
  <si>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</si>
  <si>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</si>
  <si>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</si>
  <si>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</si>
  <si>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</si>
  <si>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</si>
  <si>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</si>
  <si>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</si>
  <si>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</si>
  <si>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</si>
  <si>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</si>
  <si>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</si>
  <si>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</si>
  <si>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</si>
  <si>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</si>
  <si>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</si>
  <si>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</si>
  <si>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</si>
  <si>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</si>
  <si>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</si>
  <si>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</si>
  <si>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</si>
  <si>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</si>
  <si>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</si>
  <si>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</si>
  <si>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</si>
  <si>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</si>
  <si>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</si>
  <si>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</si>
  <si>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</si>
  <si>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</si>
  <si>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</si>
  <si>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</si>
  <si>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</si>
  <si>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</si>
  <si>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</si>
  <si>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</si>
  <si>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</si>
  <si>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</si>
  <si>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</si>
  <si>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</si>
  <si>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</si>
  <si>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</si>
  <si>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</si>
  <si>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</si>
  <si>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</si>
  <si>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</si>
  <si>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</si>
  <si>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</si>
  <si>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</si>
  <si>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</si>
  <si>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</si>
  <si>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</si>
  <si>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</si>
  <si>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</si>
  <si>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</si>
  <si>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</si>
  <si>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</si>
  <si>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</si>
  <si>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</si>
  <si>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</si>
  <si>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</si>
  <si>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</si>
  <si>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</si>
  <si>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</si>
  <si>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</si>
  <si>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</si>
  <si>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</si>
  <si>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</si>
  <si>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</si>
  <si>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</si>
  <si>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</si>
  <si>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</si>
  <si>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</si>
  <si>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</si>
  <si>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</si>
  <si>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</si>
  <si>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</si>
  <si>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</si>
  <si>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</si>
  <si>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</si>
  <si>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</si>
  <si>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</si>
  <si>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</si>
  <si>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</si>
  <si>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</si>
  <si>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</si>
  <si>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</si>
  <si>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</si>
  <si>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</si>
  <si>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</si>
  <si>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</si>
  <si>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</si>
  <si>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</si>
  <si>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</si>
  <si>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</si>
  <si>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</si>
  <si>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</si>
  <si>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</si>
  <si>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</si>
  <si>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</si>
  <si>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</si>
  <si>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</si>
  <si>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</si>
  <si>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</si>
  <si>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</si>
  <si>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</si>
  <si>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</si>
  <si>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</si>
  <si>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</si>
  <si>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</si>
  <si>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</si>
  <si>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</si>
  <si>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</si>
  <si>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</si>
  <si>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</si>
  <si>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</si>
  <si>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</si>
  <si>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</si>
  <si>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</si>
  <si>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</si>
  <si>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</si>
  <si>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</si>
  <si>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</si>
  <si>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</si>
  <si>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</si>
  <si>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</si>
  <si>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</si>
  <si>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</si>
  <si>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</si>
  <si>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</si>
  <si>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</si>
  <si>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</si>
  <si>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</si>
  <si>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</si>
  <si>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</si>
  <si>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</si>
  <si>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</si>
  <si>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</si>
  <si>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</si>
  <si>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</si>
  <si>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</si>
  <si>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</si>
  <si>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</si>
  <si>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</si>
  <si>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</si>
  <si>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</si>
  <si>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</si>
  <si>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</si>
  <si>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</si>
  <si>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</si>
  <si>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</si>
  <si>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</si>
  <si>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</si>
  <si>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</si>
  <si>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</si>
  <si>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</si>
  <si>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</si>
  <si>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</si>
  <si>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</si>
  <si>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</si>
  <si>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</si>
  <si>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</si>
  <si>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</si>
  <si>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</si>
  <si>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</si>
  <si>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</si>
  <si>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</si>
  <si>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</si>
  <si>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</si>
  <si>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</si>
  <si>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</si>
  <si>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</si>
  <si>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</si>
  <si>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</si>
  <si>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</si>
  <si>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</si>
  <si>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</si>
  <si>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</si>
  <si>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</si>
  <si>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</si>
  <si>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</si>
  <si>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</si>
  <si>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</si>
  <si>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</si>
  <si>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</si>
  <si>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</si>
  <si>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</si>
  <si>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</si>
  <si>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</si>
  <si>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</si>
  <si>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</si>
  <si>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</si>
  <si>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</si>
  <si>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</si>
  <si>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</si>
  <si>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</si>
  <si>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</si>
  <si>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</si>
  <si>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</si>
  <si>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</si>
  <si>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</si>
  <si>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</si>
  <si>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</si>
  <si>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</si>
  <si>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</si>
  <si>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</si>
  <si>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</si>
  <si>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</si>
  <si>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</si>
  <si>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</si>
  <si>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</si>
  <si>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</si>
  <si>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</si>
  <si>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</si>
  <si>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</si>
  <si>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</si>
  <si>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</si>
  <si>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</si>
  <si>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</si>
  <si>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</si>
  <si>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</si>
  <si>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</si>
  <si>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</si>
  <si>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</si>
  <si>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</si>
  <si>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</si>
  <si>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</si>
  <si>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</si>
  <si>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</si>
  <si>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</si>
  <si>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</si>
  <si>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</si>
  <si>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</si>
  <si>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</si>
  <si>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</si>
  <si>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</si>
  <si>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</si>
  <si>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</si>
  <si>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</si>
  <si>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</si>
  <si>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</si>
  <si>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</si>
  <si>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</si>
  <si>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</si>
  <si>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</si>
  <si>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</si>
  <si>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</si>
  <si>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</si>
  <si>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</si>
  <si>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</si>
  <si>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</si>
  <si>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</si>
  <si>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</si>
  <si>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</si>
  <si>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</si>
  <si>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</si>
  <si>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</si>
  <si>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</si>
  <si>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</si>
  <si>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</si>
  <si>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</si>
  <si>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</si>
  <si>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</si>
  <si>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</si>
  <si>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</si>
  <si>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</si>
  <si>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</si>
  <si>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</si>
  <si>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</si>
  <si>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</si>
  <si>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</si>
  <si>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</si>
  <si>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</si>
  <si>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</si>
  <si>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</si>
  <si>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</si>
  <si>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</si>
  <si>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</si>
  <si>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</si>
  <si>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</si>
  <si>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</si>
  <si>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</si>
  <si>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</si>
  <si>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</si>
  <si>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</si>
  <si>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</si>
  <si>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</si>
  <si>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</si>
  <si>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</si>
  <si>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</si>
  <si>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</si>
  <si>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</si>
  <si>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</si>
  <si>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</si>
  <si>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</si>
  <si>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</si>
  <si>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</si>
  <si>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</si>
  <si>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</si>
  <si>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</si>
  <si>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</si>
  <si>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</si>
  <si>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</si>
  <si>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</si>
  <si>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</si>
  <si>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</si>
  <si>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</si>
  <si>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</si>
  <si>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</si>
  <si>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</si>
  <si>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</si>
  <si>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</si>
  <si>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</si>
  <si>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</si>
  <si>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</si>
  <si>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</si>
  <si>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</si>
  <si>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</si>
  <si>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</si>
  <si>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</si>
  <si>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</si>
  <si>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</si>
  <si>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</si>
  <si>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</si>
  <si>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</si>
  <si>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</si>
  <si>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</si>
  <si>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</si>
  <si>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</si>
  <si>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</si>
  <si>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</si>
  <si>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</si>
  <si>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</si>
  <si>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</si>
  <si>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</si>
  <si>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</si>
  <si>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</si>
  <si>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</si>
  <si>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</si>
  <si>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</si>
  <si>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</si>
  <si>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</si>
  <si>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</si>
  <si>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</si>
  <si>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</si>
  <si>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</si>
  <si>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</si>
  <si>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</si>
  <si>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</si>
  <si>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</si>
  <si>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</si>
  <si>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</si>
  <si>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</si>
  <si>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</si>
  <si>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</si>
  <si>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</si>
  <si>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</si>
  <si>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</si>
  <si>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</si>
  <si>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</si>
  <si>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</si>
  <si>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</si>
  <si>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</si>
  <si>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</si>
  <si>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</si>
  <si>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</si>
  <si>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</si>
  <si>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</si>
  <si>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</si>
  <si>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</si>
  <si>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</si>
  <si>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</si>
  <si>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</si>
  <si>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</si>
  <si>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</si>
  <si>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</si>
  <si>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</si>
  <si>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</si>
  <si>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</si>
  <si>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</si>
  <si>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</si>
  <si>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</si>
  <si>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</si>
  <si>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</si>
  <si>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</si>
  <si>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</si>
  <si>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</si>
  <si>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</si>
  <si>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</si>
  <si>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</si>
  <si>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</si>
  <si>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</si>
  <si>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</si>
  <si>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</si>
  <si>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</si>
  <si>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</si>
  <si>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</si>
  <si>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</si>
  <si>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</si>
  <si>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</si>
  <si>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</si>
  <si>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</si>
  <si>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</si>
  <si>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</si>
  <si>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</si>
  <si>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</si>
  <si>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</si>
  <si>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</si>
  <si>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</si>
  <si>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</si>
  <si>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</si>
  <si>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</si>
  <si>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</si>
  <si>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</si>
  <si>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</si>
  <si>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</si>
  <si>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</si>
  <si>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</si>
  <si>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</si>
  <si>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</si>
  <si>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</si>
  <si>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</si>
  <si>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</si>
  <si>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</si>
  <si>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</si>
  <si>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</si>
  <si>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</si>
  <si>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</si>
  <si>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</si>
  <si>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</si>
  <si>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</si>
  <si>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</si>
  <si>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</si>
  <si>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</si>
  <si>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</si>
  <si>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</si>
  <si>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</si>
  <si>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</si>
  <si>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</si>
  <si>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</si>
  <si>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</si>
  <si>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</si>
  <si>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</si>
  <si>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</si>
  <si>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</si>
  <si>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</si>
  <si>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</si>
  <si>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</si>
  <si>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</si>
  <si>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</si>
  <si>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</si>
  <si>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</si>
  <si>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</si>
  <si>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</si>
  <si>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</si>
  <si>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</si>
  <si>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</si>
  <si>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</si>
  <si>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</si>
  <si>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</si>
  <si>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</si>
  <si>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</si>
  <si>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</si>
  <si>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</si>
  <si>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</si>
  <si>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</si>
  <si>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</si>
  <si>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</si>
  <si>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</si>
  <si>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</si>
  <si>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</si>
  <si>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</si>
  <si>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</si>
  <si>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</si>
  <si>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</si>
  <si>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</si>
  <si>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</si>
  <si>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</si>
  <si>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</si>
  <si>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</si>
  <si>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</si>
  <si>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</si>
  <si>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</si>
  <si>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</si>
  <si>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</si>
  <si>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</si>
  <si>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</si>
  <si>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</si>
  <si>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</si>
  <si>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</si>
  <si>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</si>
  <si>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</si>
  <si>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</si>
  <si>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</si>
  <si>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</si>
  <si>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</si>
  <si>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</si>
  <si>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</si>
  <si>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</si>
  <si>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</si>
  <si>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</si>
  <si>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</si>
  <si>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</si>
  <si>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</si>
  <si>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</si>
  <si>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</si>
  <si>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</si>
  <si>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</si>
  <si>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</si>
  <si>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</si>
  <si>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</si>
  <si>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</si>
  <si>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</si>
  <si>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</si>
  <si>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</si>
  <si>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</si>
  <si>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</si>
  <si>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</si>
  <si>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</si>
  <si>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</si>
  <si>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</si>
  <si>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</si>
  <si>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</si>
  <si>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</si>
  <si>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</si>
  <si>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</si>
  <si>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</si>
  <si>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</si>
  <si>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</si>
  <si>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</si>
  <si>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</si>
  <si>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</si>
  <si>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</si>
  <si>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</si>
  <si>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</si>
  <si>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</si>
  <si>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</si>
  <si>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</si>
  <si>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</si>
  <si>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</si>
  <si>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</si>
  <si>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</si>
  <si>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</si>
  <si>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</si>
  <si>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</si>
  <si>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</si>
  <si>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</si>
  <si>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</si>
  <si>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</si>
  <si>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</si>
  <si>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</si>
  <si>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</si>
  <si>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</si>
  <si>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</si>
  <si>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</si>
  <si>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</si>
  <si>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</si>
  <si>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</si>
  <si>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</si>
  <si>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</si>
  <si>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</si>
  <si>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</si>
  <si>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</si>
  <si>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</si>
  <si>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</si>
  <si>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</si>
  <si>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</si>
  <si>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</si>
  <si>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</si>
  <si>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</si>
  <si>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</si>
  <si>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</si>
  <si>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</si>
  <si>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</si>
  <si>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</si>
  <si>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</si>
  <si>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</si>
  <si>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</si>
  <si>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</si>
  <si>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</si>
  <si>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</si>
  <si>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</si>
  <si>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</si>
  <si>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</si>
  <si>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</si>
  <si>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</si>
  <si>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</si>
  <si>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</si>
  <si>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</si>
  <si>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</si>
  <si>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</si>
  <si>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</si>
  <si>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</si>
  <si>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</si>
  <si>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</si>
  <si>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</si>
  <si>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</si>
  <si>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</si>
  <si>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</si>
  <si>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</si>
  <si>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</si>
  <si>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</si>
  <si>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</si>
  <si>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</si>
  <si>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</si>
  <si>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</si>
  <si>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</si>
  <si>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</si>
  <si>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</si>
  <si>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</si>
  <si>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</si>
  <si>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</si>
  <si>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</si>
  <si>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</si>
  <si>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</si>
  <si>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</si>
  <si>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</si>
  <si>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</si>
  <si>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</si>
  <si>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</si>
  <si>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</si>
  <si>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</si>
  <si>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</si>
  <si>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</si>
  <si>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</si>
  <si>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</si>
  <si>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</si>
  <si>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</si>
  <si>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</si>
  <si>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</si>
  <si>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</si>
  <si>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</si>
  <si>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</si>
  <si>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</si>
  <si>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</si>
  <si>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</si>
  <si>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</si>
  <si>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</si>
  <si>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</si>
  <si>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</si>
  <si>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</si>
  <si>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</si>
  <si>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</si>
  <si>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</si>
  <si>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</si>
  <si>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</si>
  <si>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</si>
  <si>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</si>
  <si>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</si>
  <si>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</si>
  <si>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</si>
  <si>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</si>
  <si>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</si>
  <si>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</si>
  <si>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</si>
  <si>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</si>
  <si>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</si>
  <si>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</si>
  <si>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</si>
  <si>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</si>
  <si>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</si>
  <si>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</si>
  <si>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</si>
  <si>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</si>
  <si>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</si>
  <si>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</si>
  <si>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</si>
  <si>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</si>
  <si>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</si>
  <si>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</si>
  <si>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</si>
  <si>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</si>
  <si>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</si>
  <si>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</si>
  <si>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</si>
  <si>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</si>
  <si>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</si>
  <si>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</si>
  <si>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</si>
  <si>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</si>
  <si>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</si>
  <si>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</si>
  <si>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</si>
  <si>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</si>
  <si>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</si>
  <si>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</si>
  <si>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</si>
  <si>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</si>
  <si>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</si>
  <si>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</si>
  <si>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</si>
  <si>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</si>
  <si>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</si>
  <si>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</si>
  <si>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</si>
  <si>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</si>
  <si>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</si>
  <si>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</si>
  <si>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</si>
  <si>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</si>
  <si>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</si>
  <si>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</si>
  <si>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</si>
  <si>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</si>
  <si>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</si>
  <si>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</si>
  <si>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</si>
  <si>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</si>
  <si>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</si>
  <si>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</si>
  <si>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</si>
  <si>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</si>
  <si>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</si>
  <si>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</si>
  <si>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</si>
  <si>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</si>
  <si>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</si>
  <si>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</si>
  <si>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</si>
  <si>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</si>
  <si>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</si>
  <si>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</si>
  <si>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</si>
  <si>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</si>
  <si>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</si>
  <si>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</si>
  <si>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</si>
  <si>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</si>
  <si>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</si>
  <si>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</si>
  <si>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</si>
  <si>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</si>
  <si>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</si>
  <si>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</si>
  <si>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</si>
  <si>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</si>
  <si>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</si>
  <si>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</si>
  <si>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</si>
  <si>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</si>
  <si>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</si>
  <si>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</si>
  <si>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</si>
  <si>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</si>
  <si>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</si>
  <si>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</si>
  <si>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</si>
  <si>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</si>
  <si>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</si>
  <si>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</si>
  <si>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</si>
  <si>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</si>
  <si>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</si>
  <si>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</si>
  <si>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</si>
  <si>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</si>
  <si>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</si>
  <si>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</si>
  <si>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</si>
  <si>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</si>
  <si>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</si>
  <si>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</si>
  <si>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</si>
  <si>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</si>
  <si>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</si>
  <si>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</si>
  <si>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</si>
  <si>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</si>
  <si>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</si>
  <si>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</si>
  <si>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</si>
  <si>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</si>
  <si>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</si>
  <si>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</si>
  <si>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</si>
  <si>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</si>
  <si>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</si>
  <si>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</si>
  <si>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</si>
  <si>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</si>
  <si>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</si>
  <si>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</si>
  <si>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</si>
  <si>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</si>
  <si>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</si>
  <si>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</si>
  <si>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</si>
  <si>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</si>
  <si>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</si>
  <si>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</si>
  <si>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</si>
  <si>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</si>
  <si>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</si>
  <si>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</si>
  <si>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</si>
  <si>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</si>
  <si>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</si>
  <si>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</si>
  <si>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</si>
  <si>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</si>
  <si>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</si>
  <si>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</si>
  <si>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</si>
  <si>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</si>
  <si>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</si>
  <si>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</si>
  <si>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</si>
  <si>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</si>
  <si>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</si>
  <si>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</si>
  <si>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</si>
  <si>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</si>
  <si>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</si>
  <si>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</si>
  <si>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</si>
  <si>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</si>
  <si>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</si>
  <si>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</si>
  <si>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</si>
  <si>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</si>
  <si>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</si>
  <si>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</si>
  <si>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</si>
  <si>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</si>
  <si>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</si>
  <si>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</si>
  <si>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</si>
  <si>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</si>
  <si>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</si>
  <si>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</si>
  <si>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</si>
  <si>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</si>
  <si>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</si>
  <si>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</si>
  <si>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</si>
  <si>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</si>
  <si>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</si>
  <si>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</si>
  <si>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</si>
  <si>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</si>
  <si>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</si>
  <si>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</si>
  <si>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</si>
  <si>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</si>
  <si>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</si>
  <si>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</si>
  <si>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</si>
  <si>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</si>
  <si>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</si>
  <si>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</si>
  <si>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</si>
  <si>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</si>
  <si>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</si>
  <si>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</si>
  <si>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</si>
  <si>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</si>
  <si>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</si>
  <si>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</si>
  <si>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</si>
  <si>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</si>
  <si>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</si>
  <si>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</si>
  <si>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</si>
  <si>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</si>
  <si>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</si>
  <si>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</si>
  <si>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</si>
  <si>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</si>
  <si>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</si>
  <si>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</si>
  <si>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</si>
  <si>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</si>
  <si>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</si>
  <si>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</si>
  <si>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</si>
  <si>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</si>
  <si>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</si>
  <si>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</si>
  <si>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</si>
  <si>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</si>
  <si>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</si>
  <si>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</si>
  <si>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</si>
  <si>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</si>
  <si>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</si>
  <si>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</si>
  <si>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</si>
  <si>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</si>
  <si>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</si>
  <si>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</si>
  <si>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</si>
  <si>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</si>
  <si>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</si>
  <si>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</si>
  <si>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</si>
  <si>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</si>
  <si>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</si>
  <si>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</si>
  <si>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</si>
  <si>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</si>
  <si>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</si>
  <si>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</si>
  <si>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</si>
  <si>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</si>
  <si>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</si>
  <si>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</si>
  <si>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</si>
  <si>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</si>
  <si>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</si>
  <si>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</si>
  <si>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</si>
  <si>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</si>
  <si>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</si>
  <si>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</si>
  <si>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</si>
  <si>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</si>
  <si>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</si>
  <si>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</si>
  <si>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房号</t>
    <phoneticPr fontId="208" type="noConversion"/>
  </si>
  <si>
    <t>产权人</t>
    <phoneticPr fontId="208" type="noConversion"/>
  </si>
  <si>
    <t>建筑面积</t>
    <phoneticPr fontId="208" type="noConversion"/>
  </si>
  <si>
    <t>房本</t>
    <phoneticPr fontId="208" type="noConversion"/>
  </si>
  <si>
    <t>李明德</t>
    <phoneticPr fontId="208" type="noConversion"/>
  </si>
  <si>
    <r>
      <t>京房权证西私字第1</t>
    </r>
    <r>
      <rPr>
        <sz val="11"/>
        <color theme="1"/>
        <rFont val="宋体"/>
        <family val="3"/>
        <charset val="134"/>
        <scheme val="minor"/>
      </rPr>
      <t>18171号</t>
    </r>
    <phoneticPr fontId="208" type="noConversion"/>
  </si>
  <si>
    <t>北京和伊华国际贸易发展有限责任公司</t>
    <phoneticPr fontId="208" type="noConversion"/>
  </si>
  <si>
    <r>
      <t>X京房权证西字第</t>
    </r>
    <r>
      <rPr>
        <sz val="11"/>
        <color theme="1"/>
        <rFont val="宋体"/>
        <family val="3"/>
        <charset val="134"/>
        <scheme val="minor"/>
      </rPr>
      <t>166581号</t>
    </r>
    <phoneticPr fontId="208" type="noConversion"/>
  </si>
  <si>
    <t>吴薇</t>
  </si>
  <si>
    <t>刘梅</t>
  </si>
  <si>
    <t>北京市</t>
  </si>
  <si>
    <t>房地产抵押价值</t>
  </si>
  <si>
    <t>房屋所有权证</t>
  </si>
  <si>
    <t>与房产证证载不一致</t>
  </si>
  <si>
    <t>办公</t>
    <phoneticPr fontId="7" type="noConversion"/>
  </si>
  <si>
    <t>已核对原件</t>
  </si>
  <si>
    <t>万元</t>
  </si>
  <si>
    <t>总价</t>
  </si>
  <si>
    <t>是</t>
  </si>
  <si>
    <t>无租约</t>
  </si>
  <si>
    <t>钢混</t>
  </si>
  <si>
    <t>请录依据文件名称：《北京市征收城市基础设施建设费暂行办法》</t>
    <phoneticPr fontId="4" type="noConversion"/>
  </si>
  <si>
    <t>办公</t>
    <phoneticPr fontId="7" type="noConversion"/>
  </si>
  <si>
    <t>抵押</t>
  </si>
  <si>
    <t>正常</t>
    <phoneticPr fontId="33" type="noConversion"/>
  </si>
  <si>
    <t>总价</t>
    <phoneticPr fontId="208" type="noConversion"/>
  </si>
  <si>
    <t>面积</t>
    <phoneticPr fontId="208" type="noConversion"/>
  </si>
  <si>
    <t>单价</t>
    <phoneticPr fontId="208" type="noConversion"/>
  </si>
  <si>
    <t>售价</t>
  </si>
  <si>
    <t>南北</t>
  </si>
  <si>
    <t>南北</t>
    <phoneticPr fontId="33" type="noConversion"/>
  </si>
  <si>
    <t>南</t>
  </si>
  <si>
    <t>南</t>
    <phoneticPr fontId="33" type="noConversion"/>
  </si>
  <si>
    <t>毛坯</t>
  </si>
  <si>
    <t>毛坯</t>
    <phoneticPr fontId="33" type="noConversion"/>
  </si>
  <si>
    <t>精装修</t>
    <phoneticPr fontId="33" type="noConversion"/>
  </si>
  <si>
    <t>普通装修</t>
    <phoneticPr fontId="33" type="noConversion"/>
  </si>
  <si>
    <t>简单装修</t>
  </si>
  <si>
    <t>简单装修</t>
    <phoneticPr fontId="33" type="noConversion"/>
  </si>
  <si>
    <t>朝向</t>
    <phoneticPr fontId="33" type="noConversion"/>
  </si>
  <si>
    <t>南北</t>
    <phoneticPr fontId="33" type="noConversion"/>
  </si>
  <si>
    <t>南</t>
    <phoneticPr fontId="33" type="noConversion"/>
  </si>
  <si>
    <t>收益法</t>
  </si>
  <si>
    <t>基准户型1002</t>
    <phoneticPr fontId="33" type="noConversion"/>
  </si>
  <si>
    <t>比较法-住宅</t>
  </si>
  <si>
    <t>合计</t>
    <phoneticPr fontId="208" type="noConversion"/>
  </si>
  <si>
    <t>比较法</t>
    <phoneticPr fontId="208" type="noConversion"/>
  </si>
  <si>
    <t>收益法</t>
    <phoneticPr fontId="208" type="noConversion"/>
  </si>
  <si>
    <t>北京和伊华国际贸易发展有限责任公司</t>
    <phoneticPr fontId="7" type="noConversion"/>
  </si>
  <si>
    <t>华夏银行股份有限公司北京车公庄支行</t>
    <phoneticPr fontId="7" type="noConversion"/>
  </si>
  <si>
    <t>李明德</t>
    <phoneticPr fontId="7" type="noConversion"/>
  </si>
  <si>
    <t>自然人</t>
  </si>
  <si>
    <t>否</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</si>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</sst>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28" fillId="0" borderId="0" xfId="0" applyFont="1">
      <alignment vertical="center"/>
    </xf>
    <xf numFmtId="0" fontId="10" fillId="0" borderId="107"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04"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13</xdr:row>
      <xdr:rowOff>133350</xdr:rowOff>
    </xdr:to>
    <xdr:pic>
      <xdr:nvPicPr>
        <xdr:cNvPr id="65537" name="Picture 1"/>
        <xdr:cNvPicPr>
          <a:picLocks noChangeAspect="1" noChangeArrowheads="1"/>
        </xdr:cNvPicPr>
      </xdr:nvPicPr>
      <xdr:blipFill>
        <a:blip xmlns:r="http://schemas.openxmlformats.org/officeDocument/2006/relationships" r:embed="rId1"/>
        <a:srcRect/>
        <a:stretch>
          <a:fillRect/>
        </a:stretch>
      </xdr:blipFill>
      <xdr:spPr bwMode="auto">
        <a:xfrm>
          <a:off x="0" y="0"/>
          <a:ext cx="3152775" cy="2362200"/>
        </a:xfrm>
        <a:prstGeom prst="rect">
          <a:avLst/>
        </a:prstGeom>
        <a:noFill/>
        <a:ln w="1">
          <a:noFill/>
          <a:miter lim="800000"/>
          <a:headEnd/>
          <a:tailEnd type="none" w="med" len="med"/>
        </a:ln>
        <a:effectLst/>
      </xdr:spPr>
    </xdr:pic>
    <xdr:clientData/>
  </xdr:twoCellAnchor>
  <xdr:twoCellAnchor editAs="oneCell">
    <xdr:from>
      <xdr:col>0</xdr:col>
      <xdr:colOff>28575</xdr:colOff>
      <xdr:row>26</xdr:row>
      <xdr:rowOff>95250</xdr:rowOff>
    </xdr:from>
    <xdr:to>
      <xdr:col>5</xdr:col>
      <xdr:colOff>285750</xdr:colOff>
      <xdr:row>39</xdr:row>
      <xdr:rowOff>95250</xdr:rowOff>
    </xdr:to>
    <xdr:pic>
      <xdr:nvPicPr>
        <xdr:cNvPr id="65539" name="Picture 3"/>
        <xdr:cNvPicPr>
          <a:picLocks noChangeAspect="1" noChangeArrowheads="1"/>
        </xdr:cNvPicPr>
      </xdr:nvPicPr>
      <xdr:blipFill>
        <a:blip xmlns:r="http://schemas.openxmlformats.org/officeDocument/2006/relationships" r:embed="rId2"/>
        <a:srcRect/>
        <a:stretch>
          <a:fillRect/>
        </a:stretch>
      </xdr:blipFill>
      <xdr:spPr bwMode="auto">
        <a:xfrm>
          <a:off x="28575" y="4552950"/>
          <a:ext cx="3686175" cy="2228850"/>
        </a:xfrm>
        <a:prstGeom prst="rect">
          <a:avLst/>
        </a:prstGeom>
        <a:noFill/>
        <a:ln w="1">
          <a:noFill/>
          <a:miter lim="800000"/>
          <a:headEnd/>
          <a:tailEnd type="none" w="med" len="med"/>
        </a:ln>
        <a:effectLst/>
      </xdr:spPr>
    </xdr:pic>
    <xdr:clientData/>
  </xdr:twoCellAnchor>
  <xdr:twoCellAnchor editAs="oneCell">
    <xdr:from>
      <xdr:col>0</xdr:col>
      <xdr:colOff>0</xdr:colOff>
      <xdr:row>14</xdr:row>
      <xdr:rowOff>0</xdr:rowOff>
    </xdr:from>
    <xdr:to>
      <xdr:col>4</xdr:col>
      <xdr:colOff>666750</xdr:colOff>
      <xdr:row>26</xdr:row>
      <xdr:rowOff>133350</xdr:rowOff>
    </xdr:to>
    <xdr:pic>
      <xdr:nvPicPr>
        <xdr:cNvPr id="65540" name="Picture 4"/>
        <xdr:cNvPicPr>
          <a:picLocks noChangeAspect="1" noChangeArrowheads="1"/>
        </xdr:cNvPicPr>
      </xdr:nvPicPr>
      <xdr:blipFill>
        <a:blip xmlns:r="http://schemas.openxmlformats.org/officeDocument/2006/relationships" r:embed="rId3"/>
        <a:srcRect/>
        <a:stretch>
          <a:fillRect/>
        </a:stretch>
      </xdr:blipFill>
      <xdr:spPr bwMode="auto">
        <a:xfrm>
          <a:off x="0" y="2400300"/>
          <a:ext cx="3409950" cy="21907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16;&#26635;&#22823;&#27004;1004-&#23545;&#20844;&#20107;&#19994;&#37096;&#8212;&#30005;&#31639;&#34920;-&#25151;&#22320;&#20135;-&#21333;&#2287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测算结果"/>
      <sheetName val="收益法"/>
      <sheetName val="酒店收入计算"/>
      <sheetName val="收益法 (2)"/>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典型户型修正"/>
      <sheetName val="明细表"/>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162.61000000000001</v>
          </cell>
          <cell r="D14">
            <v>807</v>
          </cell>
          <cell r="G14">
            <v>807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2857" customWidth="1"/>
    <col min="2" max="2" width="94.875" style="2843" customWidth="1"/>
    <col min="3" max="16384" width="9" style="2853"/>
  </cols>
  <sheetData>
    <row r="1" spans="1:2" s="2848" customFormat="1" ht="16.5" thickBot="1">
      <c r="A1" s="2846" t="s">
        <v>2665</v>
      </c>
      <c r="B1" s="2847" t="s">
        <v>2736</v>
      </c>
    </row>
    <row r="2" spans="1:2" s="2850" customFormat="1" ht="15.75" thickTop="1">
      <c r="A2" s="2849" t="s">
        <v>2666</v>
      </c>
      <c r="B2" s="2835" t="str">
        <f>'预评函-封皮'!B9</f>
        <v>北京市房地产抵押价值预评估</v>
      </c>
    </row>
    <row r="3" spans="1:2" s="2850" customFormat="1">
      <c r="A3" s="2851" t="s">
        <v>2667</v>
      </c>
      <c r="B3" s="2836" t="str">
        <f>'预评函-封皮'!B12</f>
        <v>北京和伊华国际贸易发展有限责任公司</v>
      </c>
    </row>
    <row r="4" spans="1:2" s="2850" customFormat="1">
      <c r="A4" s="2851" t="s">
        <v>2668</v>
      </c>
      <c r="B4" s="2836" t="str">
        <f ca="1">'预评函-封皮'!B18</f>
        <v>吴薇（注册号:1419970001）、刘梅（注册号:1120140022)</v>
      </c>
    </row>
    <row r="5" spans="1:2" s="2848" customFormat="1" ht="15.75" thickBot="1">
      <c r="A5" s="2852" t="s">
        <v>2669</v>
      </c>
      <c r="B5" s="2837" t="str">
        <f>'预评函-封皮'!B21</f>
        <v>康正预评字号</v>
      </c>
    </row>
    <row r="6" spans="1:2" s="2850" customFormat="1" ht="15.75" thickTop="1">
      <c r="A6" s="2851" t="s">
        <v>2670</v>
      </c>
      <c r="B6" s="2835" t="str">
        <f>'预评函-1'!A4</f>
        <v>受贵公司委托，我公司对北京市房地产进行了预评估。</v>
      </c>
    </row>
    <row r="7" spans="1:2">
      <c r="A7" s="2851" t="s">
        <v>2671</v>
      </c>
      <c r="B7" s="2838" t="str">
        <f>'预评函-1'!A6</f>
        <v>估价对象为北京市房地产，为李明德所有。根据《房屋所有权证》[]，估价对象建筑面积为255.46平方米。估价对象用途为办公。</v>
      </c>
    </row>
    <row r="8" spans="1:2">
      <c r="A8" s="2851" t="s">
        <v>2672</v>
      </c>
      <c r="B8" s="2838" t="str">
        <f>'预评函-1'!A8</f>
        <v>为估价委托人在向华夏银行股份有限公司北京车公庄支行办理贷款手续过程中，确定房地产抵押贷款额度提供参考依据而评估房地产抵押价值。</v>
      </c>
    </row>
    <row r="9" spans="1:2">
      <c r="A9" s="2851" t="s">
        <v>2673</v>
      </c>
      <c r="B9" s="2838" t="str">
        <f>'预评函-1'!A10</f>
        <v>2017年9月20日（评估专业人员实地查勘之日）</v>
      </c>
    </row>
    <row r="10" spans="1:2">
      <c r="A10" s="2851" t="s">
        <v>2674</v>
      </c>
      <c r="B10" s="2838" t="str">
        <f>'预评函-1'!A13</f>
        <v>本次估价的“房地产价值”是指在正常市场情况下，在价值时点2017年9月20日，估价对象规划用途为办公，假定未设立法定优先受偿款下的房地产市场价值。</v>
      </c>
    </row>
    <row r="11" spans="1:2">
      <c r="A11" s="2851" t="s">
        <v>2675</v>
      </c>
      <c r="B11" s="2838"/>
    </row>
    <row r="12" spans="1:2">
      <c r="A12" s="2851" t="s">
        <v>2676</v>
      </c>
      <c r="B12" s="2838" t="str">
        <f>'预评函-1'!A14</f>
        <v>本次估价的“房地产抵押价值”是指估价对象在价值时点的“房地产价值”扣减估价师于价值时点所知悉的法定优先受偿款后的余额。</v>
      </c>
    </row>
    <row r="13" spans="1:2">
      <c r="A13" s="2851" t="s">
        <v>2677</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2678</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2679</v>
      </c>
      <c r="B15" s="2839" t="str">
        <f>'预评函-1'!A18</f>
        <v>本次评估采用的主估价方法为比较法和收益法。</v>
      </c>
    </row>
    <row r="16" spans="1:2" ht="15.75" thickTop="1">
      <c r="A16" s="2849" t="s">
        <v>2680</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2681</v>
      </c>
      <c r="B17" s="2838" t="str">
        <f>'预评函-2（1）'!B6</f>
        <v>北京市房地产</v>
      </c>
    </row>
    <row r="18" spans="1:2">
      <c r="A18" s="2851" t="s">
        <v>2682</v>
      </c>
      <c r="B18" s="2838">
        <f>'预评函-2（1）'!C6</f>
        <v>255.46</v>
      </c>
    </row>
    <row r="19" spans="1:2">
      <c r="A19" s="2851" t="s">
        <v>2683</v>
      </c>
      <c r="B19" s="2838">
        <f ca="1">'预评函-2（1）'!D7</f>
        <v>1276</v>
      </c>
    </row>
    <row r="20" spans="1:2">
      <c r="A20" s="2851" t="s">
        <v>2729</v>
      </c>
      <c r="B20" s="2838" t="str">
        <f>'预评函-2（1）'!C7</f>
        <v>总价（万元）</v>
      </c>
    </row>
    <row r="21" spans="1:2">
      <c r="A21" s="2851" t="s">
        <v>2684</v>
      </c>
      <c r="B21" s="2838">
        <f ca="1">'预评函-2（1）'!D9</f>
        <v>49949</v>
      </c>
    </row>
    <row r="22" spans="1:2">
      <c r="A22" s="2851" t="s">
        <v>2685</v>
      </c>
      <c r="B22" s="2838" t="str">
        <f ca="1">'预评函-2（1）'!D8</f>
        <v>壹仟贰佰柒拾陆万元整</v>
      </c>
    </row>
    <row r="23" spans="1:2">
      <c r="A23" s="2851" t="s">
        <v>2730</v>
      </c>
      <c r="B23" s="2838">
        <f>'预评函-2（1）'!D10</f>
        <v>0</v>
      </c>
    </row>
    <row r="24" spans="1:2">
      <c r="A24" s="2851" t="s">
        <v>2731</v>
      </c>
      <c r="B24" s="2838" t="str">
        <f>'预评函-2（1）'!C10</f>
        <v>总额（万元）</v>
      </c>
    </row>
    <row r="25" spans="1:2">
      <c r="A25" s="2851" t="s">
        <v>2686</v>
      </c>
      <c r="B25" s="2838" t="str">
        <f>'预评函-2（1）'!D11</f>
        <v>零元整</v>
      </c>
    </row>
    <row r="26" spans="1:2">
      <c r="A26" s="2851" t="s">
        <v>2687</v>
      </c>
      <c r="B26" s="2838">
        <f>'预评函-2（1）'!D12</f>
        <v>0</v>
      </c>
    </row>
    <row r="27" spans="1:2">
      <c r="A27" s="2851" t="s">
        <v>2688</v>
      </c>
      <c r="B27" s="2838">
        <f>'预评函-2（1）'!D13</f>
        <v>0</v>
      </c>
    </row>
    <row r="28" spans="1:2">
      <c r="A28" s="2851" t="s">
        <v>2689</v>
      </c>
      <c r="B28" s="2838">
        <f>'预评函-2（1）'!D14</f>
        <v>0</v>
      </c>
    </row>
    <row r="29" spans="1:2">
      <c r="A29" s="2851" t="s">
        <v>2690</v>
      </c>
      <c r="B29" s="2838">
        <f ca="1">'预评函-2（1）'!D15</f>
        <v>1276</v>
      </c>
    </row>
    <row r="30" spans="1:2">
      <c r="A30" s="2851" t="s">
        <v>2691</v>
      </c>
      <c r="B30" s="2838" t="str">
        <f ca="1">'预评函-2（1）'!D16</f>
        <v>壹仟贰佰柒拾陆万元整</v>
      </c>
    </row>
    <row r="31" spans="1:2">
      <c r="A31" s="2851" t="s">
        <v>2692</v>
      </c>
      <c r="B31" s="2838" t="str">
        <f>'预评函-2（1）'!D18</f>
        <v>——</v>
      </c>
    </row>
    <row r="32" spans="1:2">
      <c r="A32" s="2851" t="s">
        <v>2693</v>
      </c>
      <c r="B32" s="2838" t="e">
        <f>'预评函-2（1）'!D19</f>
        <v>#VALUE!</v>
      </c>
    </row>
    <row r="33" spans="1:2">
      <c r="A33" s="2851" t="s">
        <v>2694</v>
      </c>
      <c r="B33" s="2838" t="str">
        <f>'预评函-2（1）'!D21</f>
        <v>——</v>
      </c>
    </row>
    <row r="34" spans="1:2">
      <c r="A34" s="2851" t="s">
        <v>2695</v>
      </c>
      <c r="B34" s="2838" t="str">
        <f ca="1">'预评函-2（1）'!D23</f>
        <v>——</v>
      </c>
    </row>
    <row r="35" spans="1:2">
      <c r="A35" s="2851" t="s">
        <v>2696</v>
      </c>
      <c r="B35" s="2838" t="e">
        <f>'预评函-2（1）'!D22</f>
        <v>#VALUE!</v>
      </c>
    </row>
    <row r="36" spans="1:2">
      <c r="A36" s="2851" t="s">
        <v>2697</v>
      </c>
      <c r="B36" s="2838">
        <f>'预评函-2（2）'!C4</f>
        <v>0</v>
      </c>
    </row>
    <row r="37" spans="1:2">
      <c r="A37" s="2851" t="s">
        <v>2698</v>
      </c>
      <c r="B37" s="2838">
        <f ca="1">'预评函-2（2）'!D4</f>
        <v>1166</v>
      </c>
    </row>
    <row r="38" spans="1:2">
      <c r="A38" s="2851" t="s">
        <v>2699</v>
      </c>
      <c r="B38" s="2838">
        <f ca="1">'预评函-2（2）'!E4</f>
        <v>45643</v>
      </c>
    </row>
    <row r="39" spans="1:2">
      <c r="A39" s="2851" t="s">
        <v>2700</v>
      </c>
      <c r="B39" s="2838" t="str">
        <f ca="1">'预评函-2（2）'!D5</f>
        <v>壹仟壹佰陆拾陆万元整</v>
      </c>
    </row>
    <row r="40" spans="1:2">
      <c r="A40" s="2851" t="s">
        <v>2701</v>
      </c>
      <c r="B40" s="2838">
        <f ca="1">'预评函-2（2）'!F4</f>
        <v>110</v>
      </c>
    </row>
    <row r="41" spans="1:2">
      <c r="A41" s="2851" t="s">
        <v>2702</v>
      </c>
      <c r="B41" s="2838">
        <f ca="1">'预评函-2（2）'!G4</f>
        <v>4306</v>
      </c>
    </row>
    <row r="42" spans="1:2" s="2848" customFormat="1" ht="15.75" thickBot="1">
      <c r="A42" s="2852" t="s">
        <v>2703</v>
      </c>
      <c r="B42" s="2840" t="str">
        <f ca="1">'预评函-2（2）'!F5</f>
        <v>壹佰壹拾万元整</v>
      </c>
    </row>
    <row r="43" spans="1:2" ht="15.75" thickTop="1">
      <c r="A43" s="2849" t="s">
        <v>2704</v>
      </c>
      <c r="B43" s="2841" t="str">
        <f>'预评函-3'!A13</f>
        <v>2.本《评估意见函》仅供金融机构进行内部审核使用，不做其他目的之用。</v>
      </c>
    </row>
    <row r="44" spans="1:2">
      <c r="A44" s="2851" t="s">
        <v>2705</v>
      </c>
      <c r="B44" s="2838" t="str">
        <f>'预评函-3'!A14</f>
        <v>3.抵押双方在办理抵押登记手续时，应使用本公司出具的正式《房地产评估报告》，特提醒报告使用者注意。</v>
      </c>
    </row>
    <row r="45" spans="1:2">
      <c r="A45" s="2851" t="s">
        <v>2706</v>
      </c>
      <c r="B45" s="2838" t="str">
        <f>'预评函-3'!A15</f>
        <v>4.本次评估估价师所知悉的法定优先受偿款情况说明如下：</v>
      </c>
    </row>
    <row r="46" spans="1:2">
      <c r="A46" s="2851" t="s">
        <v>2707</v>
      </c>
      <c r="B46" s="2838"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51" t="s">
        <v>2708</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2727</v>
      </c>
      <c r="B48" s="2838" t="str">
        <f>'预评函-3'!A18</f>
        <v>本次评估不存在估价师所知悉的法定优先受偿款。</v>
      </c>
    </row>
    <row r="49" spans="1:2">
      <c r="A49" s="2851" t="s">
        <v>2709</v>
      </c>
      <c r="B49" s="283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2710</v>
      </c>
      <c r="B50" s="2838" t="str">
        <f>'预评函-3'!A20</f>
        <v>6.其他需特殊说明事项：无（注意修改序号）</v>
      </c>
    </row>
    <row r="51" spans="1:2" s="2848" customFormat="1" thickBot="1">
      <c r="A51" s="2852" t="s">
        <v>2711</v>
      </c>
      <c r="B51" s="2845">
        <f>'预评函-3'!D29</f>
        <v>42551</v>
      </c>
    </row>
    <row r="52" spans="1:2" ht="15.75" thickTop="1">
      <c r="A52" s="2849" t="s">
        <v>2712</v>
      </c>
      <c r="B52" s="2844" t="str">
        <f>'预评函-3'!A4</f>
        <v>吴薇</v>
      </c>
    </row>
    <row r="53" spans="1:2">
      <c r="A53" s="2851" t="s">
        <v>2713</v>
      </c>
      <c r="B53" s="2838">
        <f ca="1">'预评函-3'!B4</f>
        <v>1419970001</v>
      </c>
    </row>
    <row r="54" spans="1:2">
      <c r="A54" s="2851" t="s">
        <v>2714</v>
      </c>
      <c r="B54" s="2842" t="str">
        <f>'预评函-3'!A5</f>
        <v>刘梅</v>
      </c>
    </row>
    <row r="55" spans="1:2" s="2848" customFormat="1" ht="15.75" thickBot="1">
      <c r="A55" s="2852" t="s">
        <v>2715</v>
      </c>
      <c r="B55" s="2840">
        <f ca="1">'预评函-3'!B5</f>
        <v>1120140022</v>
      </c>
    </row>
    <row r="56" spans="1:2" ht="15.75" thickTop="1">
      <c r="A56" s="2854" t="s">
        <v>2732</v>
      </c>
      <c r="B56" s="2838" t="str">
        <f>'预评函-2（1）'!B15</f>
        <v>3.房地产抵押价值</v>
      </c>
    </row>
    <row r="57" spans="1:2">
      <c r="A57" s="2854" t="s">
        <v>2733</v>
      </c>
      <c r="B57" s="2838" t="str">
        <f>'预评函-2（1）'!B18</f>
        <v>——</v>
      </c>
    </row>
    <row r="58" spans="1:2" s="2848" customFormat="1" ht="15.75" thickBot="1">
      <c r="A58" s="2855" t="s">
        <v>2734</v>
      </c>
      <c r="B58" s="2839" t="str">
        <f>'预评函-2（1）'!B21</f>
        <v>——</v>
      </c>
    </row>
    <row r="59" spans="1:2" ht="15.75" thickTop="1">
      <c r="A59" s="2856" t="s">
        <v>2737</v>
      </c>
      <c r="B59" s="2836" t="str">
        <f>'预评函-2（1）'!B45</f>
        <v>单位：万元、元/平方米（单位：人民币）</v>
      </c>
    </row>
    <row r="60" spans="1:2">
      <c r="A60" s="2854" t="s">
        <v>2738</v>
      </c>
      <c r="B60" s="2838" t="str">
        <f>'预评函-2（2）'!D2</f>
        <v>出让国有建设用地使用权价值</v>
      </c>
    </row>
    <row r="61" spans="1:2" s="2850" customFormat="1">
      <c r="A61" s="2854" t="s">
        <v>2739</v>
      </c>
      <c r="B61" s="2838" t="str">
        <f>'预评函-2（2）'!A14</f>
        <v>单位：平方米、万元、元/平方米（币种：人民币）</v>
      </c>
    </row>
    <row r="62" spans="1:2" ht="28.5">
      <c r="A62" s="2854" t="s">
        <v>2902</v>
      </c>
      <c r="B62" s="2838">
        <f ca="1">'预评函-2（1）'!D38</f>
        <v>49949</v>
      </c>
    </row>
    <row r="63" spans="1:2" s="2850" customFormat="1" ht="28.5">
      <c r="A63" s="2854" t="s">
        <v>2903</v>
      </c>
      <c r="B63" s="2838" t="str">
        <f>'预评函-2（1）'!D41</f>
        <v>——</v>
      </c>
    </row>
    <row r="64" spans="1:2">
      <c r="A64" s="2854" t="s">
        <v>2761</v>
      </c>
      <c r="B64" s="2838" t="str">
        <f>'预评函-2（2）'!A6</f>
        <v>估价师所知悉的法定优先受偿款</v>
      </c>
    </row>
    <row r="65" spans="1:2">
      <c r="A65" s="2854" t="s">
        <v>2762</v>
      </c>
      <c r="B65" s="2838" t="str">
        <f>'预评函-2（2）'!A8</f>
        <v>房地产抵押价值</v>
      </c>
    </row>
    <row r="66" spans="1:2">
      <c r="A66" s="2854" t="s">
        <v>2763</v>
      </c>
      <c r="B66" s="2838" t="str">
        <f>'预评函-2（2）'!A10</f>
        <v/>
      </c>
    </row>
    <row r="67" spans="1:2" s="2848" customFormat="1" ht="15.75" thickBot="1">
      <c r="A67" s="2855" t="s">
        <v>2764</v>
      </c>
      <c r="B67" s="2839" t="str">
        <f>'预评函-2（2）'!A12</f>
        <v/>
      </c>
    </row>
    <row r="68" spans="1:2" ht="15.75" thickTop="1">
      <c r="A68" s="2857" t="s">
        <v>2768</v>
      </c>
      <c r="B68" s="2843" t="str">
        <f>'预评函-3'!A9</f>
        <v>XX</v>
      </c>
    </row>
    <row r="69" spans="1:2">
      <c r="A69" s="2851" t="s">
        <v>2901</v>
      </c>
    </row>
    <row r="70" spans="1:2">
      <c r="A70" s="2851" t="s">
        <v>2900</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SheetLayoutView="110" workbookViewId="0">
      <selection activeCell="H31" sqref="H31"/>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8"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1865</v>
      </c>
      <c r="B1" s="1823" t="str">
        <f>IF(B6="北京市","北京市",C6)&amp;IF(E12="房屋所有权证",B28,E28)&amp;D5&amp;"预评估"</f>
        <v>北京市房地产抵押价值预评估</v>
      </c>
      <c r="C1" s="1824"/>
      <c r="D1" s="1825"/>
      <c r="E1" s="1826"/>
      <c r="F1" s="2819" t="s">
        <v>1913</v>
      </c>
      <c r="G1" s="2820"/>
      <c r="I1" s="1025" t="str">
        <f>IF(B6="北京市","北京市",C6)&amp;IF(E12="房屋所有权证",B28,E28)&amp;"房地产"</f>
        <v>北京市房地产</v>
      </c>
    </row>
    <row r="2" spans="1:15" ht="13.5" thickTop="1">
      <c r="A2" s="2821" t="s">
        <v>1985</v>
      </c>
      <c r="B2" s="1875">
        <v>42998</v>
      </c>
      <c r="C2" s="1827" t="s">
        <v>1986</v>
      </c>
      <c r="D2" s="1875">
        <v>42998</v>
      </c>
      <c r="E2" s="1828"/>
      <c r="F2" s="1828"/>
      <c r="G2" s="2822"/>
      <c r="H2" s="1721"/>
    </row>
    <row r="3" spans="1:15" ht="13.5" thickBot="1">
      <c r="A3" s="2823" t="s">
        <v>1998</v>
      </c>
      <c r="B3" s="1830" t="s">
        <v>2923</v>
      </c>
      <c r="C3" s="1831">
        <f ca="1">SUMIF(注册房地产估价师,B3,估价师及机构信息!B3:B24)</f>
        <v>1419970001</v>
      </c>
      <c r="D3" s="1830" t="s">
        <v>2924</v>
      </c>
      <c r="E3" s="1832">
        <f ca="1">SUMIF(注册房地产估价师,D3,估价师及机构信息!B3:B24)</f>
        <v>1120140022</v>
      </c>
      <c r="F3" s="1833"/>
      <c r="G3" s="2824"/>
      <c r="H3" s="1721"/>
    </row>
    <row r="4" spans="1:15" ht="13.5" customHeight="1" thickTop="1">
      <c r="A4" s="2825" t="s">
        <v>1895</v>
      </c>
      <c r="B4" s="1834" t="s">
        <v>2963</v>
      </c>
      <c r="C4" s="1835" t="s">
        <v>1897</v>
      </c>
      <c r="D4" s="1836" t="s">
        <v>2938</v>
      </c>
      <c r="E4" s="1828"/>
      <c r="F4" s="1828"/>
      <c r="G4" s="2822"/>
    </row>
    <row r="5" spans="1:15" ht="36">
      <c r="A5" s="2826" t="s">
        <v>1896</v>
      </c>
      <c r="B5" s="1715" t="s">
        <v>2964</v>
      </c>
      <c r="C5" s="1658" t="s">
        <v>1898</v>
      </c>
      <c r="D5" s="1845" t="s">
        <v>2926</v>
      </c>
      <c r="E5" s="1858" t="s">
        <v>2009</v>
      </c>
      <c r="F5" s="1702" t="s">
        <v>2926</v>
      </c>
      <c r="G5" s="1814"/>
      <c r="I5" s="1025" t="str">
        <f>IF(C16="否","截至估价时点，估价对象抵押权未见登记。","截至价值时点，估价对象已设定抵押。")</f>
        <v>截至价值时点，估价对象已设定抵押。</v>
      </c>
    </row>
    <row r="6" spans="1:15">
      <c r="A6" s="2827" t="s">
        <v>1828</v>
      </c>
      <c r="B6" s="1090" t="s">
        <v>2925</v>
      </c>
      <c r="C6" s="1666"/>
      <c r="D6" s="1667" t="s">
        <v>1900</v>
      </c>
      <c r="E6" s="1723"/>
      <c r="F6" s="1722"/>
      <c r="G6" s="1853"/>
      <c r="I6" s="1867" t="str">
        <f>IF(COUNTIF(B5,"*上海银行*"),"上海银行","")</f>
        <v/>
      </c>
    </row>
    <row r="7" spans="1:15" ht="13.5" thickBot="1">
      <c r="A7" s="2823" t="s">
        <v>1829</v>
      </c>
      <c r="B7" s="1837" t="s">
        <v>2966</v>
      </c>
      <c r="C7" s="1838" t="str">
        <f>IF(B7="自然人","姓名","名称")</f>
        <v>姓名</v>
      </c>
      <c r="D7" s="1839" t="s">
        <v>2965</v>
      </c>
      <c r="E7" s="1840"/>
      <c r="F7" s="1833"/>
      <c r="G7" s="2824"/>
    </row>
    <row r="8" spans="1:15" ht="13.5" thickTop="1">
      <c r="A8" s="3182" t="s">
        <v>1901</v>
      </c>
      <c r="B8" s="1794" t="s">
        <v>1902</v>
      </c>
      <c r="C8" s="3195"/>
      <c r="D8" s="3196"/>
      <c r="E8" s="1700" t="s">
        <v>1906</v>
      </c>
      <c r="F8" s="1694" t="s">
        <v>1899</v>
      </c>
      <c r="G8" s="978">
        <f>C6</f>
        <v>0</v>
      </c>
    </row>
    <row r="9" spans="1:15" ht="24">
      <c r="A9" s="3182"/>
      <c r="B9" s="1641" t="s">
        <v>1911</v>
      </c>
      <c r="C9" s="1715" t="s">
        <v>2929</v>
      </c>
      <c r="D9" s="1717" t="s">
        <v>2928</v>
      </c>
      <c r="E9" s="1695" t="s">
        <v>1800</v>
      </c>
      <c r="F9" s="1669" t="s">
        <v>1206</v>
      </c>
      <c r="G9" s="1696"/>
    </row>
    <row r="10" spans="1:15" ht="13.5" thickBot="1">
      <c r="A10" s="3182"/>
      <c r="B10" s="1641" t="s">
        <v>1826</v>
      </c>
      <c r="C10" s="3197"/>
      <c r="D10" s="3198"/>
      <c r="E10" s="1697" t="s">
        <v>1801</v>
      </c>
      <c r="F10" s="1698" t="s">
        <v>1172</v>
      </c>
      <c r="G10" s="1699"/>
    </row>
    <row r="11" spans="1:15" ht="13.5" thickBot="1">
      <c r="A11" s="3182"/>
      <c r="B11" s="1813" t="s">
        <v>1827</v>
      </c>
      <c r="C11" s="3199"/>
      <c r="D11" s="3200"/>
      <c r="E11" s="1723"/>
      <c r="F11" s="1722"/>
      <c r="G11" s="1853"/>
    </row>
    <row r="12" spans="1:15" ht="13.5" thickBot="1">
      <c r="A12" s="3186" t="s">
        <v>2294</v>
      </c>
      <c r="B12" s="1692" t="s">
        <v>2299</v>
      </c>
      <c r="C12" s="1703">
        <v>255.46</v>
      </c>
      <c r="D12" s="1692" t="s">
        <v>1894</v>
      </c>
      <c r="E12" s="1718" t="s">
        <v>2927</v>
      </c>
      <c r="F12" s="2659" t="s">
        <v>2899</v>
      </c>
      <c r="G12" s="1853"/>
    </row>
    <row r="13" spans="1:15" ht="21" customHeight="1" thickBot="1">
      <c r="A13" s="3187"/>
      <c r="B13" s="1693" t="s">
        <v>2300</v>
      </c>
      <c r="C13" s="1704"/>
      <c r="D13" s="1693" t="s">
        <v>1894</v>
      </c>
      <c r="E13" s="1705" t="s">
        <v>151</v>
      </c>
      <c r="F13" s="1722"/>
      <c r="G13" s="1853"/>
      <c r="I13" s="3205" t="s">
        <v>2006</v>
      </c>
      <c r="J13" s="189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5"/>
      <c r="B14" s="2657" t="s">
        <v>1912</v>
      </c>
      <c r="C14" s="2658" t="s">
        <v>2937</v>
      </c>
      <c r="D14" s="1719"/>
      <c r="E14" s="1719"/>
      <c r="F14" s="1722"/>
      <c r="G14" s="1853"/>
      <c r="I14" s="3205"/>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1892</v>
      </c>
      <c r="C15" s="1843"/>
      <c r="D15" s="1844"/>
      <c r="E15" s="1844"/>
      <c r="F15" s="1833"/>
      <c r="G15" s="2824"/>
      <c r="I15" s="3205"/>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8" customFormat="1" ht="25.5" thickTop="1" thickBot="1">
      <c r="A16" s="1815" t="s">
        <v>1980</v>
      </c>
      <c r="B16" s="1818" t="s">
        <v>2003</v>
      </c>
      <c r="C16" s="1819" t="s">
        <v>2933</v>
      </c>
      <c r="D16" s="1820" t="s">
        <v>2005</v>
      </c>
      <c r="E16" s="1821"/>
      <c r="F16" s="1847" t="str">
        <f>IF(AND(C16="是",E16="否"),"是否提供他项权证或相关说明","")</f>
        <v/>
      </c>
      <c r="G16" s="1821"/>
      <c r="J16" s="1025"/>
      <c r="K16" s="1866"/>
      <c r="L16" s="1866"/>
      <c r="M16" s="1866"/>
      <c r="O16" s="1867"/>
    </row>
    <row r="17" spans="1:15" ht="13.5" customHeight="1">
      <c r="A17" s="1812" t="s">
        <v>1981</v>
      </c>
      <c r="B17" s="3201" t="s">
        <v>2000</v>
      </c>
      <c r="C17" s="3202"/>
      <c r="D17" s="3203" t="s">
        <v>2001</v>
      </c>
      <c r="E17" s="3204"/>
      <c r="F17" s="3096" t="s">
        <v>2002</v>
      </c>
      <c r="G17" s="3098"/>
      <c r="J17" s="1025"/>
    </row>
    <row r="18" spans="1:15" ht="24">
      <c r="A18" s="1812"/>
      <c r="B18" s="1876" t="s">
        <v>2897</v>
      </c>
      <c r="C18" s="1814" t="s">
        <v>1999</v>
      </c>
      <c r="D18" s="1816" t="s">
        <v>2007</v>
      </c>
      <c r="E18" s="1817" t="s">
        <v>1976</v>
      </c>
      <c r="F18" s="3097"/>
      <c r="G18" s="3099"/>
      <c r="H18" s="1721"/>
      <c r="J18" s="1025"/>
    </row>
    <row r="19" spans="1:15" ht="21.75" customHeight="1" thickBot="1">
      <c r="A19" s="1812"/>
      <c r="B19" s="1877"/>
      <c r="C19" s="1705"/>
      <c r="D19" s="1852"/>
      <c r="E19" s="1719"/>
      <c r="F19" s="1719"/>
      <c r="G19" s="3099"/>
    </row>
    <row r="20" spans="1:15">
      <c r="A20" s="3093" t="s">
        <v>2004</v>
      </c>
      <c r="B20" s="3092" t="s">
        <v>1972</v>
      </c>
      <c r="C20" s="1846"/>
      <c r="D20" s="1811" t="s">
        <v>1972</v>
      </c>
      <c r="E20" s="1846"/>
      <c r="F20" s="1719"/>
      <c r="G20" s="3099"/>
    </row>
    <row r="21" spans="1:15">
      <c r="A21" s="3094"/>
      <c r="B21" s="1785" t="s">
        <v>1973</v>
      </c>
      <c r="C21" s="3067"/>
      <c r="D21" s="1812" t="s">
        <v>1973</v>
      </c>
      <c r="E21" s="3089"/>
      <c r="F21" s="1722"/>
      <c r="G21" s="3100"/>
    </row>
    <row r="22" spans="1:15">
      <c r="A22" s="3094"/>
      <c r="B22" s="3081" t="s">
        <v>1974</v>
      </c>
      <c r="C22" s="3088"/>
      <c r="D22" s="3081" t="s">
        <v>1974</v>
      </c>
      <c r="E22" s="3089"/>
      <c r="F22" s="1722"/>
      <c r="G22" s="3100"/>
    </row>
    <row r="23" spans="1:15" s="3085" customFormat="1" ht="21" thickBot="1">
      <c r="A23" s="3095"/>
      <c r="B23" s="3087" t="s">
        <v>1975</v>
      </c>
      <c r="C23" s="3090"/>
      <c r="D23" s="3087" t="s">
        <v>1975</v>
      </c>
      <c r="E23" s="3091"/>
      <c r="F23" s="1722"/>
      <c r="G23" s="3100"/>
      <c r="H23" s="3082"/>
      <c r="I23" s="3068"/>
      <c r="J23" s="3083"/>
      <c r="K23" s="3084"/>
      <c r="L23" s="3084"/>
      <c r="M23" s="3084"/>
      <c r="O23" s="3086"/>
    </row>
    <row r="24" spans="1:15" ht="13.5" thickBot="1">
      <c r="A24" s="1850" t="s">
        <v>1871</v>
      </c>
      <c r="B24" s="1722"/>
      <c r="C24" s="1722"/>
      <c r="D24" s="1722"/>
      <c r="E24" s="1722"/>
      <c r="F24" s="1722"/>
      <c r="G24" s="3101"/>
      <c r="I24" s="1028"/>
      <c r="K24" s="1849"/>
    </row>
    <row r="25" spans="1:15" s="1868" customFormat="1" ht="13.5" thickBot="1">
      <c r="A25" s="1668"/>
      <c r="B25" s="1786" t="s">
        <v>1977</v>
      </c>
      <c r="C25" s="1668"/>
      <c r="D25" s="1701"/>
      <c r="E25" s="1708" t="s">
        <v>1903</v>
      </c>
      <c r="F25" s="1668"/>
      <c r="G25" s="1787" t="s">
        <v>1978</v>
      </c>
      <c r="I25" s="1894"/>
      <c r="J25" s="1894"/>
      <c r="L25" s="1869"/>
      <c r="M25" s="1869"/>
      <c r="O25" s="1870"/>
    </row>
    <row r="26" spans="1:15" s="1868" customFormat="1" ht="13.5" thickBot="1">
      <c r="A26" s="1668"/>
      <c r="B26" s="1878" t="s">
        <v>2930</v>
      </c>
      <c r="C26" s="1668"/>
      <c r="D26" s="1701"/>
      <c r="E26" s="1878"/>
      <c r="F26" s="1668"/>
      <c r="G26" s="2828"/>
      <c r="I26" s="1894"/>
      <c r="J26" s="1894"/>
      <c r="L26" s="1869"/>
      <c r="M26" s="1869"/>
      <c r="O26" s="1870"/>
    </row>
    <row r="27" spans="1:15">
      <c r="A27" s="1683" t="s">
        <v>1872</v>
      </c>
      <c r="B27" s="1680"/>
      <c r="C27" s="3189" t="s">
        <v>1904</v>
      </c>
      <c r="D27" s="3190"/>
      <c r="E27" s="1680"/>
      <c r="F27" s="1691" t="s">
        <v>1872</v>
      </c>
      <c r="G27" s="1680"/>
      <c r="I27" s="1028"/>
      <c r="K27" s="1849"/>
    </row>
    <row r="28" spans="1:15">
      <c r="A28" s="1685" t="s">
        <v>1831</v>
      </c>
      <c r="B28" s="1720"/>
      <c r="C28" s="3191" t="s">
        <v>1819</v>
      </c>
      <c r="D28" s="3192"/>
      <c r="E28" s="1720"/>
      <c r="F28" s="2817" t="s">
        <v>1832</v>
      </c>
      <c r="G28" s="1632"/>
      <c r="I28" s="1028"/>
      <c r="K28" s="1849"/>
    </row>
    <row r="29" spans="1:15">
      <c r="A29" s="1685" t="s">
        <v>1830</v>
      </c>
      <c r="B29" s="1632"/>
      <c r="C29" s="3191" t="s">
        <v>1817</v>
      </c>
      <c r="D29" s="3192"/>
      <c r="E29" s="1632"/>
      <c r="F29" s="2817" t="s">
        <v>1833</v>
      </c>
      <c r="G29" s="1632"/>
      <c r="I29" s="1028"/>
      <c r="K29" s="1849"/>
    </row>
    <row r="30" spans="1:15">
      <c r="A30" s="1684" t="s">
        <v>1845</v>
      </c>
      <c r="B30" s="1632"/>
      <c r="C30" s="3211" t="s">
        <v>1820</v>
      </c>
      <c r="D30" s="1714"/>
      <c r="E30" s="1724" t="str">
        <f>E31&amp;" "&amp;E32&amp;" "&amp;E33&amp;" "&amp;E34</f>
        <v xml:space="preserve">   </v>
      </c>
      <c r="F30" s="2817" t="s">
        <v>1835</v>
      </c>
      <c r="G30" s="1632"/>
    </row>
    <row r="31" spans="1:15">
      <c r="A31" s="1685" t="s">
        <v>1834</v>
      </c>
      <c r="B31" s="1632"/>
      <c r="C31" s="3212"/>
      <c r="D31" s="1690" t="s">
        <v>1846</v>
      </c>
      <c r="E31" s="1632"/>
      <c r="F31" s="2817" t="s">
        <v>1837</v>
      </c>
      <c r="G31" s="1632"/>
    </row>
    <row r="32" spans="1:15" ht="24.75" thickBot="1">
      <c r="A32" s="1686" t="s">
        <v>1836</v>
      </c>
      <c r="B32" s="1681"/>
      <c r="C32" s="3212"/>
      <c r="D32" s="1690" t="s">
        <v>1847</v>
      </c>
      <c r="E32" s="1632"/>
      <c r="F32" s="2817" t="s">
        <v>1838</v>
      </c>
      <c r="G32" s="1632"/>
    </row>
    <row r="33" spans="1:7">
      <c r="A33" s="1707" t="s">
        <v>1844</v>
      </c>
      <c r="B33" s="1680"/>
      <c r="C33" s="3212"/>
      <c r="D33" s="1690" t="s">
        <v>1848</v>
      </c>
      <c r="E33" s="1632"/>
      <c r="F33" s="2817" t="s">
        <v>1840</v>
      </c>
      <c r="G33" s="1632"/>
    </row>
    <row r="34" spans="1:7" ht="13.5" thickBot="1">
      <c r="A34" s="1685" t="s">
        <v>1873</v>
      </c>
      <c r="B34" s="1720"/>
      <c r="C34" s="3213"/>
      <c r="D34" s="1690" t="s">
        <v>1849</v>
      </c>
      <c r="E34" s="1632"/>
      <c r="F34" s="2818" t="s">
        <v>1842</v>
      </c>
      <c r="G34" s="1682"/>
    </row>
    <row r="35" spans="1:7">
      <c r="A35" s="1685" t="s">
        <v>1841</v>
      </c>
      <c r="B35" s="1632"/>
      <c r="C35" s="3191" t="s">
        <v>1821</v>
      </c>
      <c r="D35" s="3192"/>
      <c r="E35" s="1632"/>
      <c r="F35" s="1709" t="s">
        <v>1874</v>
      </c>
      <c r="G35" s="1680"/>
    </row>
    <row r="36" spans="1:7" ht="24.75" thickBot="1">
      <c r="A36" s="1685" t="s">
        <v>1875</v>
      </c>
      <c r="B36" s="1632"/>
      <c r="C36" s="3193" t="s">
        <v>1822</v>
      </c>
      <c r="D36" s="3194"/>
      <c r="E36" s="1681"/>
      <c r="F36" s="2816" t="s">
        <v>1876</v>
      </c>
      <c r="G36" s="1632"/>
    </row>
    <row r="37" spans="1:7" ht="13.5" thickBot="1">
      <c r="A37" s="1685" t="s">
        <v>1877</v>
      </c>
      <c r="B37" s="1632"/>
      <c r="C37" s="3183" t="s">
        <v>1823</v>
      </c>
      <c r="D37" s="2815" t="s">
        <v>1855</v>
      </c>
      <c r="E37" s="1680"/>
      <c r="F37" s="2818" t="s">
        <v>1878</v>
      </c>
      <c r="G37" s="1681"/>
    </row>
    <row r="38" spans="1:7">
      <c r="A38" s="1685" t="s">
        <v>1839</v>
      </c>
      <c r="B38" s="1632"/>
      <c r="C38" s="3184"/>
      <c r="D38" s="1690" t="s">
        <v>1856</v>
      </c>
      <c r="E38" s="1632"/>
      <c r="F38" s="1691" t="s">
        <v>1883</v>
      </c>
      <c r="G38" s="1680"/>
    </row>
    <row r="39" spans="1:7">
      <c r="A39" s="1685" t="s">
        <v>1880</v>
      </c>
      <c r="B39" s="1632"/>
      <c r="C39" s="3184" t="s">
        <v>1905</v>
      </c>
      <c r="D39" s="1690" t="s">
        <v>1853</v>
      </c>
      <c r="E39" s="1632"/>
      <c r="F39" s="2817" t="s">
        <v>1886</v>
      </c>
      <c r="G39" s="1632"/>
    </row>
    <row r="40" spans="1:7" ht="24.75" customHeight="1" thickBot="1">
      <c r="A40" s="1686" t="s">
        <v>1882</v>
      </c>
      <c r="B40" s="1681"/>
      <c r="C40" s="3185"/>
      <c r="D40" s="2814" t="s">
        <v>1854</v>
      </c>
      <c r="E40" s="1681"/>
      <c r="F40" s="2818" t="s">
        <v>1888</v>
      </c>
      <c r="G40" s="1681"/>
    </row>
    <row r="41" spans="1:7">
      <c r="A41" s="1689" t="s">
        <v>1885</v>
      </c>
      <c r="B41" s="1788"/>
      <c r="C41" s="3206" t="s">
        <v>1825</v>
      </c>
      <c r="D41" s="3207"/>
      <c r="E41" s="1788"/>
      <c r="F41" s="1691" t="s">
        <v>1879</v>
      </c>
      <c r="G41" s="1788"/>
    </row>
    <row r="42" spans="1:7">
      <c r="A42" s="1782" t="s">
        <v>1979</v>
      </c>
      <c r="B42" s="1789"/>
      <c r="C42" s="1776"/>
      <c r="D42" s="1780"/>
      <c r="E42" s="1789"/>
      <c r="F42" s="1781"/>
      <c r="G42" s="1789"/>
    </row>
    <row r="43" spans="1:7">
      <c r="A43" s="1783" t="s">
        <v>1972</v>
      </c>
      <c r="B43" s="1779"/>
      <c r="C43" s="1776"/>
      <c r="D43" s="1784" t="s">
        <v>1972</v>
      </c>
      <c r="E43" s="1779"/>
      <c r="F43" s="1783" t="s">
        <v>1972</v>
      </c>
      <c r="G43" s="1779"/>
    </row>
    <row r="44" spans="1:7">
      <c r="A44" s="1783" t="s">
        <v>1973</v>
      </c>
      <c r="B44" s="1779"/>
      <c r="C44" s="1776"/>
      <c r="D44" s="1785" t="s">
        <v>1973</v>
      </c>
      <c r="E44" s="1779"/>
      <c r="F44" s="1783" t="s">
        <v>1973</v>
      </c>
      <c r="G44" s="1779"/>
    </row>
    <row r="45" spans="1:7">
      <c r="A45" s="1783" t="s">
        <v>1974</v>
      </c>
      <c r="B45" s="1779"/>
      <c r="C45" s="1776"/>
      <c r="D45" s="1785" t="s">
        <v>1974</v>
      </c>
      <c r="E45" s="1779"/>
      <c r="F45" s="1783" t="s">
        <v>1974</v>
      </c>
      <c r="G45" s="1779"/>
    </row>
    <row r="46" spans="1:7">
      <c r="A46" s="1783" t="s">
        <v>1975</v>
      </c>
      <c r="B46" s="1779"/>
      <c r="C46" s="1776"/>
      <c r="D46" s="1785" t="s">
        <v>1975</v>
      </c>
      <c r="E46" s="1779"/>
      <c r="F46" s="1783" t="s">
        <v>1975</v>
      </c>
      <c r="G46" s="1779"/>
    </row>
    <row r="47" spans="1:7">
      <c r="A47" s="1778"/>
      <c r="B47" s="1779"/>
      <c r="C47" s="1776"/>
      <c r="D47" s="1780"/>
      <c r="E47" s="1779"/>
      <c r="F47" s="1781"/>
      <c r="G47" s="1779"/>
    </row>
    <row r="48" spans="1:7" ht="13.5" thickBot="1">
      <c r="A48" s="1686" t="s">
        <v>1887</v>
      </c>
      <c r="B48" s="1706"/>
      <c r="C48" s="3208" t="s">
        <v>1818</v>
      </c>
      <c r="D48" s="3209"/>
      <c r="E48" s="1775"/>
      <c r="F48" s="2818" t="s">
        <v>1881</v>
      </c>
      <c r="G48" s="1681"/>
    </row>
    <row r="49" spans="1:15">
      <c r="A49" s="1685" t="s">
        <v>1884</v>
      </c>
      <c r="B49" s="1774"/>
      <c r="C49" s="3183" t="s">
        <v>1850</v>
      </c>
      <c r="D49" s="3210"/>
      <c r="E49" s="1777"/>
      <c r="F49" s="1871"/>
      <c r="G49" s="1872"/>
    </row>
    <row r="50" spans="1:15" ht="13.5" thickBot="1">
      <c r="A50" s="1687" t="s">
        <v>1843</v>
      </c>
      <c r="B50" s="1774"/>
      <c r="C50" s="3185" t="s">
        <v>1824</v>
      </c>
      <c r="D50" s="3188"/>
      <c r="E50" s="1681"/>
      <c r="F50" s="1722"/>
      <c r="G50" s="1853"/>
    </row>
    <row r="51" spans="1:15">
      <c r="A51" s="1687" t="s">
        <v>1852</v>
      </c>
      <c r="B51" s="1632"/>
      <c r="C51" s="1722"/>
      <c r="D51" s="1722"/>
      <c r="E51" s="1722"/>
      <c r="F51" s="1722"/>
      <c r="G51" s="1853"/>
    </row>
    <row r="52" spans="1:15" ht="24.75" thickBot="1">
      <c r="A52" s="1688" t="s">
        <v>1851</v>
      </c>
      <c r="B52" s="1682"/>
      <c r="C52" s="1851"/>
      <c r="D52" s="1851"/>
      <c r="E52" s="1851"/>
      <c r="F52" s="1851"/>
      <c r="G52" s="1854"/>
    </row>
    <row r="53" spans="1:15">
      <c r="A53" s="1640"/>
      <c r="B53" s="1640"/>
      <c r="C53" s="1640"/>
      <c r="D53" s="1640"/>
      <c r="E53" s="1640"/>
      <c r="F53" s="1640"/>
      <c r="G53" s="1640"/>
    </row>
    <row r="54" spans="1:15">
      <c r="C54" s="1640"/>
      <c r="D54" s="1640"/>
      <c r="E54" s="1640"/>
      <c r="F54" s="1640"/>
      <c r="G54" s="1640"/>
    </row>
    <row r="56" spans="1:15" s="1721" customFormat="1">
      <c r="I56" s="1895"/>
      <c r="J56" s="1025"/>
      <c r="K56" s="1874"/>
      <c r="L56" s="1874"/>
      <c r="M56" s="1874"/>
      <c r="O56" s="1873"/>
    </row>
    <row r="57" spans="1:15" s="1721" customFormat="1">
      <c r="I57" s="1895"/>
      <c r="J57" s="1025"/>
      <c r="K57" s="1874"/>
      <c r="L57" s="1874"/>
      <c r="M57" s="1874"/>
      <c r="O57" s="1873"/>
    </row>
    <row r="58" spans="1:15" s="1721" customFormat="1">
      <c r="I58" s="1895"/>
      <c r="J58" s="1025"/>
      <c r="K58" s="1874"/>
      <c r="L58" s="1874"/>
      <c r="M58" s="1874"/>
      <c r="O58" s="1873"/>
    </row>
    <row r="59" spans="1:15" s="1721" customFormat="1">
      <c r="I59" s="1895"/>
      <c r="J59" s="1025"/>
      <c r="K59" s="1874"/>
      <c r="L59" s="1874"/>
      <c r="M59" s="1874"/>
      <c r="O59" s="1873"/>
    </row>
    <row r="60" spans="1:15" s="1721" customFormat="1">
      <c r="I60" s="1895"/>
      <c r="J60" s="1025"/>
      <c r="K60" s="1874"/>
      <c r="L60" s="1874"/>
      <c r="M60" s="1874"/>
      <c r="O60" s="1873"/>
    </row>
    <row r="61" spans="1:15" s="1721" customFormat="1">
      <c r="I61" s="1895"/>
      <c r="J61" s="1025"/>
      <c r="K61" s="1874"/>
      <c r="L61" s="1874"/>
      <c r="M61" s="1874"/>
      <c r="O61" s="1873"/>
    </row>
    <row r="62" spans="1:15" s="1721" customFormat="1">
      <c r="I62" s="1895"/>
      <c r="J62" s="1025"/>
      <c r="K62" s="1874"/>
      <c r="L62" s="1874"/>
      <c r="M62" s="1874"/>
      <c r="O62" s="18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4" t="s">
        <v>207</v>
      </c>
      <c r="E1" s="3214" t="s">
        <v>208</v>
      </c>
      <c r="F1" s="3214"/>
      <c r="G1" s="3214"/>
      <c r="H1" s="3214"/>
      <c r="I1" s="3214"/>
      <c r="J1" s="3214"/>
      <c r="K1" s="3214"/>
      <c r="L1" s="3214"/>
      <c r="M1" s="3214"/>
    </row>
    <row r="2" spans="1:13" ht="27" customHeight="1">
      <c r="A2" s="3154"/>
      <c r="B2" s="3154"/>
      <c r="C2" s="3154"/>
      <c r="D2" s="3214"/>
      <c r="E2" s="3214" t="s">
        <v>191</v>
      </c>
      <c r="F2" s="3214" t="s">
        <v>192</v>
      </c>
      <c r="G2" s="3214"/>
      <c r="H2" s="3214"/>
      <c r="I2" s="3214"/>
      <c r="J2" s="3214" t="s">
        <v>193</v>
      </c>
      <c r="K2" s="3214"/>
      <c r="L2" s="3214"/>
      <c r="M2" s="3214"/>
    </row>
    <row r="3" spans="1:13" ht="28.5">
      <c r="A3" s="3154"/>
      <c r="B3" s="3154"/>
      <c r="C3" s="3154"/>
      <c r="D3" s="3214"/>
      <c r="E3" s="3214"/>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4" t="s">
        <v>209</v>
      </c>
      <c r="B9" s="3214"/>
      <c r="C9" s="3214"/>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0" sqref="E30"/>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599</v>
      </c>
      <c r="B1" s="2074"/>
      <c r="C1" s="2074"/>
      <c r="D1" s="2075"/>
      <c r="E1" s="2075"/>
      <c r="AE1" s="2074"/>
      <c r="AF1" s="2074"/>
      <c r="AG1" s="2074"/>
      <c r="AH1" s="2074"/>
      <c r="AI1" s="2074"/>
      <c r="AJ1" s="2074"/>
      <c r="AK1" s="2074"/>
      <c r="AL1" s="2074"/>
      <c r="AM1" s="2074"/>
      <c r="AN1" s="2074"/>
      <c r="AO1" s="2074"/>
    </row>
    <row r="2" spans="1:41" s="2082" customFormat="1" ht="15" thickBot="1">
      <c r="A2" s="16" t="s">
        <v>600</v>
      </c>
      <c r="B2" s="2095">
        <f>项目基本情况!D2</f>
        <v>42998</v>
      </c>
      <c r="C2" s="2078"/>
      <c r="D2" s="3215" t="s">
        <v>2287</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2206</v>
      </c>
      <c r="B3" s="2016" t="s">
        <v>2931</v>
      </c>
      <c r="C3" s="2078"/>
      <c r="D3" s="3216"/>
      <c r="E3" s="2041" t="s">
        <v>2967</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2207</v>
      </c>
      <c r="B4" s="2016" t="s">
        <v>2932</v>
      </c>
      <c r="C4" s="2078"/>
      <c r="D4" s="3216"/>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2291</v>
      </c>
      <c r="B5" s="2318">
        <f>项目基本情况!C12</f>
        <v>255.46</v>
      </c>
      <c r="C5" s="2078"/>
      <c r="D5" s="2042" t="s">
        <v>2288</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2290</v>
      </c>
      <c r="B6" s="2319">
        <f>项目基本情况!C13</f>
        <v>0</v>
      </c>
      <c r="C6" s="2078"/>
      <c r="D6" s="2042" t="s">
        <v>2289</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2" t="s">
        <v>602</v>
      </c>
      <c r="B10" s="1650" t="s">
        <v>25</v>
      </c>
      <c r="C10" s="2078"/>
      <c r="D10" s="16" t="s">
        <v>620</v>
      </c>
      <c r="E10" s="24" t="s">
        <v>621</v>
      </c>
      <c r="F10" s="25" t="s">
        <v>622</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603</v>
      </c>
      <c r="B11" s="1652">
        <v>70</v>
      </c>
      <c r="C11" s="2078"/>
      <c r="D11" s="26" t="s">
        <v>623</v>
      </c>
      <c r="E11" s="217">
        <v>160</v>
      </c>
      <c r="F11" s="2084" t="s">
        <v>2936</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604</v>
      </c>
      <c r="B12" s="2999">
        <v>63643</v>
      </c>
      <c r="C12" s="2078"/>
      <c r="D12" s="27" t="s">
        <v>624</v>
      </c>
      <c r="E12" s="220"/>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605</v>
      </c>
      <c r="B13" s="1655">
        <f>IF(B12="",B11-(YEAR($B$2)-B26+B23),ROUNDDOWN(MIN((B12-$B$2)/365,B11),2))</f>
        <v>56.56</v>
      </c>
      <c r="C13" s="2087"/>
      <c r="D13" s="176" t="s">
        <v>625</v>
      </c>
      <c r="E13" s="222"/>
      <c r="F13" s="3042" t="s">
        <v>2869</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606</v>
      </c>
      <c r="B14" s="1656">
        <f>IF(ISERROR(ROUND(POWER(1+B15,B11-B13)*(POWER(1+B15,B13)-1)/(POWER(1+B15,B11)-1),3)),0,ROUND(POWER(1+B15,B11-B13)*(POWER(1+B15,B13)-1)/(POWER(1+B15,B11)-1),3))</f>
        <v>0.96099999999999997</v>
      </c>
      <c r="C14" s="2078"/>
      <c r="D14" s="175" t="s">
        <v>626</v>
      </c>
      <c r="E14" s="997">
        <v>160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607</v>
      </c>
      <c r="B15" s="213">
        <v>4.4999999999999998E-2</v>
      </c>
      <c r="C15" s="2078"/>
      <c r="D15" s="27" t="s">
        <v>627</v>
      </c>
      <c r="E15" s="221">
        <f>E14-E16</f>
        <v>160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608</v>
      </c>
      <c r="B16" s="213">
        <v>0.05</v>
      </c>
      <c r="C16" s="2078"/>
      <c r="D16" s="29" t="s">
        <v>628</v>
      </c>
      <c r="E16" s="998">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609</v>
      </c>
      <c r="B17" s="1670">
        <v>0.08</v>
      </c>
      <c r="C17" s="2078"/>
      <c r="D17" s="1642" t="s">
        <v>610</v>
      </c>
      <c r="E17" s="1643">
        <v>3000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766380</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f>ROUND(1-(2017-2005)/60,2)</f>
        <v>0.8</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618</v>
      </c>
      <c r="B21" s="215">
        <v>2</v>
      </c>
      <c r="C21" s="2078"/>
      <c r="D21" s="27" t="s">
        <v>629</v>
      </c>
      <c r="E21" s="999">
        <v>0.03</v>
      </c>
      <c r="F21" s="3045" t="s">
        <v>2870</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2521</v>
      </c>
      <c r="B22" s="2526">
        <v>2</v>
      </c>
      <c r="C22" s="2078"/>
      <c r="D22" s="27" t="s">
        <v>630</v>
      </c>
      <c r="E22" s="223">
        <v>0.05</v>
      </c>
      <c r="F22" s="3045" t="s">
        <v>2871</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619</v>
      </c>
      <c r="B23" s="216">
        <f>B20+B21</f>
        <v>2</v>
      </c>
      <c r="C23" s="2078"/>
      <c r="D23" s="27" t="s">
        <v>631</v>
      </c>
      <c r="E23" s="220">
        <v>160</v>
      </c>
      <c r="F23" s="3045" t="s">
        <v>2872</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2519</v>
      </c>
      <c r="B24" s="2922">
        <f>B20+B22</f>
        <v>2</v>
      </c>
      <c r="C24" s="2078"/>
      <c r="D24" s="29" t="s">
        <v>632</v>
      </c>
      <c r="E24" s="3000">
        <v>1.4999999999999999E-2</v>
      </c>
      <c r="F24" s="3045" t="s">
        <v>2873</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2520</v>
      </c>
      <c r="B25" s="2523">
        <f>B21-B22</f>
        <v>0</v>
      </c>
      <c r="C25" s="2074"/>
      <c r="D25" s="26" t="s">
        <v>633</v>
      </c>
      <c r="E25" s="999">
        <v>0.02</v>
      </c>
      <c r="F25" s="3045" t="s">
        <v>2874</v>
      </c>
      <c r="I25" s="2075"/>
      <c r="AE25" s="2074"/>
      <c r="AF25" s="2074"/>
      <c r="AG25" s="2074"/>
      <c r="AH25" s="2074"/>
      <c r="AI25" s="2074"/>
      <c r="AJ25" s="2074"/>
      <c r="AK25" s="2074"/>
      <c r="AL25" s="2074"/>
      <c r="AM25" s="2074"/>
      <c r="AN25" s="2074"/>
      <c r="AO25" s="2074"/>
    </row>
    <row r="26" spans="1:41" ht="15" thickBot="1">
      <c r="A26" s="1903" t="s">
        <v>2018</v>
      </c>
      <c r="B26" s="1902">
        <v>2005</v>
      </c>
      <c r="C26" s="2078"/>
      <c r="D26" s="27" t="s">
        <v>634</v>
      </c>
      <c r="E26" s="223">
        <v>0.02</v>
      </c>
      <c r="F26" s="3045" t="s">
        <v>2874</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635</v>
      </c>
      <c r="E27" s="570">
        <f ca="1">存贷款利率!G1</f>
        <v>4.7500000000000001E-2</v>
      </c>
      <c r="F27" s="3045" t="s">
        <v>2875</v>
      </c>
      <c r="G27" s="2080"/>
      <c r="H27" s="2080"/>
      <c r="K27" s="2078"/>
      <c r="N27" s="2078"/>
      <c r="AE27" s="2074"/>
      <c r="AF27" s="2074"/>
      <c r="AG27" s="2074"/>
      <c r="AH27" s="2074"/>
      <c r="AI27" s="2074"/>
      <c r="AJ27" s="2074"/>
      <c r="AK27" s="2074"/>
      <c r="AL27" s="2074"/>
      <c r="AM27" s="2074"/>
      <c r="AN27" s="2074"/>
      <c r="AO27" s="2074"/>
    </row>
    <row r="28" spans="1:41" ht="14.25" thickBot="1">
      <c r="A28" s="9" t="s">
        <v>1889</v>
      </c>
      <c r="B28" s="3007" t="s">
        <v>2934</v>
      </c>
      <c r="C28" s="2074"/>
      <c r="D28" s="1648" t="s">
        <v>611</v>
      </c>
      <c r="E28" s="1649">
        <v>0.2</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6</v>
      </c>
      <c r="C29" s="2074"/>
      <c r="D29" s="175" t="s">
        <v>636</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2447</v>
      </c>
      <c r="B30" s="2487">
        <f ca="1">存贷款利率!I1</f>
        <v>1.4999999999999999E-2</v>
      </c>
      <c r="C30" s="2074"/>
      <c r="D30" s="1027" t="s">
        <v>637</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612</v>
      </c>
      <c r="B31" s="213">
        <v>0.02</v>
      </c>
      <c r="C31" s="2074"/>
      <c r="D31" s="1027" t="s">
        <v>638</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613</v>
      </c>
      <c r="B32" s="213">
        <v>0.1</v>
      </c>
      <c r="C32" s="2074"/>
      <c r="D32" s="28" t="s">
        <v>639</v>
      </c>
      <c r="E32" s="226">
        <v>7.0000000000000007E-2</v>
      </c>
      <c r="F32" s="3040" t="s">
        <v>2876</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545</v>
      </c>
      <c r="B33" s="2422">
        <f>收益法!J54</f>
        <v>48</v>
      </c>
      <c r="C33" s="2074"/>
      <c r="D33" s="28" t="s">
        <v>640</v>
      </c>
      <c r="E33" s="224">
        <v>0.03</v>
      </c>
      <c r="F33" s="3039" t="s">
        <v>2877</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7" t="str">
        <f>IF(B28="租赁期内按合同租金","剩余租赁期","——")</f>
        <v>——</v>
      </c>
      <c r="B34" s="1671"/>
      <c r="C34" s="2074"/>
      <c r="D34" s="28" t="s">
        <v>641</v>
      </c>
      <c r="E34" s="224">
        <v>0.02</v>
      </c>
      <c r="F34" s="3039" t="s">
        <v>2878</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601</v>
      </c>
      <c r="B35" s="1660"/>
      <c r="C35" s="2074"/>
      <c r="D35" s="178" t="s">
        <v>642</v>
      </c>
      <c r="E35" s="227"/>
      <c r="F35" s="3047" t="s">
        <v>2879</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643</v>
      </c>
      <c r="E36" s="228">
        <v>0.03</v>
      </c>
      <c r="F36" s="3043" t="s">
        <v>2881</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644</v>
      </c>
      <c r="E37" s="224">
        <v>5.0000000000000001E-4</v>
      </c>
      <c r="F37" s="3043" t="s">
        <v>2882</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645</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646</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7" t="str">
        <f>IF(B28="租赁期内按合同租金","租赁期外收益期","——")</f>
        <v>——</v>
      </c>
      <c r="B40" s="2051" t="str">
        <f>IF(B28="租赁期内按合同租金",B33-B34,"——")</f>
        <v>——</v>
      </c>
      <c r="C40" s="2074"/>
      <c r="D40" s="174" t="s">
        <v>647</v>
      </c>
      <c r="E40" s="231">
        <f>SUMIF(D42:D51,E41,E42:E51)</f>
        <v>24</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1816</v>
      </c>
      <c r="B41" s="1673"/>
      <c r="C41" s="2074"/>
      <c r="D41" s="27" t="s">
        <v>648</v>
      </c>
      <c r="E41" s="12" t="s">
        <v>1206</v>
      </c>
      <c r="F41" s="3041" t="s">
        <v>2880</v>
      </c>
      <c r="G41" s="2090" t="s">
        <v>2868</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2228</v>
      </c>
      <c r="B42" s="1659">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614</v>
      </c>
      <c r="B43" s="212"/>
      <c r="C43" s="2074"/>
      <c r="D43" s="13" t="s">
        <v>168</v>
      </c>
      <c r="E43" s="212">
        <v>24</v>
      </c>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615</v>
      </c>
      <c r="B44" s="1674">
        <v>1.4999999999999999E-2</v>
      </c>
      <c r="C44" s="2153" t="s">
        <v>2384</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616</v>
      </c>
      <c r="B45" s="1675">
        <v>1.5E-3</v>
      </c>
      <c r="C45" s="2153" t="s">
        <v>2385</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617</v>
      </c>
      <c r="B46" s="1676">
        <v>0.02</v>
      </c>
      <c r="C46" s="2153" t="s">
        <v>2386</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2864</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2865</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2866</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2867</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17" t="s">
        <v>665</v>
      </c>
      <c r="B1" s="3218"/>
      <c r="C1" s="3218"/>
      <c r="D1" s="3218"/>
      <c r="E1" s="3218"/>
      <c r="F1" s="3218"/>
      <c r="G1" s="3218"/>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29"/>
      <c r="B2" s="1030"/>
      <c r="C2" s="1031" t="s">
        <v>666</v>
      </c>
      <c r="D2" s="1032"/>
      <c r="E2" s="1033"/>
      <c r="F2" s="1026"/>
      <c r="G2" s="1031" t="s">
        <v>667</v>
      </c>
      <c r="H2" s="2102"/>
      <c r="I2" s="2102"/>
      <c r="J2" s="2102"/>
      <c r="K2" s="2102"/>
      <c r="L2" s="2102"/>
      <c r="M2" s="2102"/>
      <c r="N2" s="2102"/>
      <c r="O2" s="2102"/>
      <c r="P2" s="2102"/>
      <c r="Q2" s="2102"/>
      <c r="R2" s="2102"/>
    </row>
    <row r="3" spans="1:29" ht="54">
      <c r="A3" s="879" t="s">
        <v>668</v>
      </c>
      <c r="B3" s="18" t="s">
        <v>37</v>
      </c>
      <c r="C3" s="3049" t="s">
        <v>669</v>
      </c>
      <c r="D3" s="2104"/>
      <c r="E3" s="888" t="s">
        <v>668</v>
      </c>
      <c r="F3" s="1034" t="s">
        <v>94</v>
      </c>
      <c r="G3" s="3053" t="s">
        <v>2884</v>
      </c>
      <c r="H3" s="2102"/>
      <c r="I3" s="2102"/>
      <c r="J3" s="2102"/>
      <c r="K3" s="2102"/>
      <c r="L3" s="2102"/>
      <c r="M3" s="2102"/>
      <c r="N3" s="2102"/>
      <c r="O3" s="2102"/>
      <c r="P3" s="2102"/>
      <c r="Q3" s="2102"/>
      <c r="R3" s="2102"/>
    </row>
    <row r="4" spans="1:29" ht="40.5">
      <c r="A4" s="888"/>
      <c r="B4" s="2066" t="s">
        <v>670</v>
      </c>
      <c r="C4" s="3050" t="s">
        <v>671</v>
      </c>
      <c r="D4" s="2104"/>
      <c r="E4" s="1035"/>
      <c r="F4" s="2071" t="s">
        <v>672</v>
      </c>
      <c r="G4" s="3051" t="s">
        <v>673</v>
      </c>
      <c r="H4" s="2102"/>
      <c r="I4" s="2102"/>
      <c r="J4" s="2102"/>
      <c r="K4" s="2102"/>
      <c r="L4" s="2102"/>
      <c r="M4" s="2102"/>
      <c r="N4" s="2102"/>
      <c r="O4" s="2102"/>
      <c r="P4" s="2102"/>
      <c r="Q4" s="2102"/>
      <c r="R4" s="2102"/>
    </row>
    <row r="5" spans="1:29" ht="40.5">
      <c r="A5" s="888"/>
      <c r="B5" s="2066" t="s">
        <v>674</v>
      </c>
      <c r="C5" s="3050" t="s">
        <v>675</v>
      </c>
      <c r="D5" s="2104"/>
      <c r="E5" s="1035"/>
      <c r="F5" s="2544" t="s">
        <v>2536</v>
      </c>
      <c r="G5" s="3051" t="s">
        <v>2538</v>
      </c>
      <c r="H5" s="2102"/>
      <c r="I5" s="2102"/>
      <c r="J5" s="2102"/>
      <c r="K5" s="2102"/>
      <c r="L5" s="2102"/>
      <c r="M5" s="2102"/>
      <c r="N5" s="2102"/>
      <c r="O5" s="2102"/>
      <c r="P5" s="2102"/>
      <c r="Q5" s="2102"/>
      <c r="R5" s="2102"/>
    </row>
    <row r="6" spans="1:29" ht="54">
      <c r="A6" s="888"/>
      <c r="B6" s="2066" t="s">
        <v>67</v>
      </c>
      <c r="C6" s="3051" t="s">
        <v>649</v>
      </c>
      <c r="D6" s="2104"/>
      <c r="E6" s="1035"/>
      <c r="F6" s="2544" t="s">
        <v>2537</v>
      </c>
      <c r="G6" s="3051" t="s">
        <v>2539</v>
      </c>
      <c r="H6" s="2102"/>
      <c r="I6" s="2102"/>
      <c r="J6" s="2102"/>
      <c r="K6" s="2102"/>
      <c r="L6" s="2102"/>
      <c r="M6" s="2102"/>
      <c r="N6" s="2102"/>
      <c r="O6" s="2102"/>
      <c r="P6" s="2102"/>
      <c r="Q6" s="2102"/>
      <c r="R6" s="2102"/>
    </row>
    <row r="7" spans="1:29" ht="41.25" thickBot="1">
      <c r="A7" s="888"/>
      <c r="B7" s="2066" t="s">
        <v>2536</v>
      </c>
      <c r="C7" s="3051" t="s">
        <v>2538</v>
      </c>
      <c r="D7" s="2105"/>
      <c r="E7" s="1036"/>
      <c r="F7" s="1037" t="s">
        <v>650</v>
      </c>
      <c r="G7" s="3054" t="s">
        <v>2883</v>
      </c>
      <c r="H7" s="2102"/>
      <c r="I7" s="2102"/>
      <c r="J7" s="2102"/>
      <c r="K7" s="2102"/>
      <c r="L7" s="2102"/>
      <c r="M7" s="2102"/>
      <c r="N7" s="2102"/>
      <c r="O7" s="2102"/>
      <c r="P7" s="2102"/>
      <c r="Q7" s="2102"/>
      <c r="R7" s="2102"/>
    </row>
    <row r="8" spans="1:29" ht="27">
      <c r="A8" s="888"/>
      <c r="B8" s="2544" t="s">
        <v>2537</v>
      </c>
      <c r="C8" s="3051" t="s">
        <v>2539</v>
      </c>
      <c r="D8" s="2105"/>
      <c r="E8" s="2105"/>
      <c r="F8" s="2106"/>
      <c r="G8" s="2106"/>
      <c r="H8" s="2102"/>
      <c r="I8" s="2102"/>
      <c r="J8" s="2102"/>
      <c r="K8" s="2102"/>
      <c r="L8" s="2102"/>
      <c r="M8" s="2102"/>
      <c r="N8" s="2102"/>
      <c r="O8" s="2102"/>
      <c r="P8" s="2102"/>
      <c r="Q8" s="2102"/>
      <c r="R8" s="2102"/>
    </row>
    <row r="9" spans="1:29" ht="40.5">
      <c r="A9" s="888"/>
      <c r="B9" s="2066" t="s">
        <v>68</v>
      </c>
      <c r="C9" s="3050" t="s">
        <v>651</v>
      </c>
      <c r="D9" s="2104"/>
      <c r="E9" s="2105"/>
      <c r="F9" s="2106"/>
      <c r="G9" s="2106"/>
      <c r="H9" s="2102"/>
      <c r="I9" s="2102"/>
      <c r="J9" s="2102"/>
      <c r="K9" s="2102"/>
      <c r="L9" s="2102"/>
      <c r="M9" s="2102"/>
      <c r="N9" s="2102"/>
      <c r="O9" s="2102"/>
      <c r="P9" s="2102"/>
      <c r="Q9" s="2102"/>
      <c r="R9" s="2102"/>
    </row>
    <row r="10" spans="1:29" s="11" customFormat="1" ht="14.25" thickBot="1">
      <c r="A10" s="1038"/>
      <c r="B10" s="2070" t="s">
        <v>652</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2"/>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2"/>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2"/>
      <c r="E13" s="2543"/>
      <c r="F13" s="2543"/>
      <c r="G13" s="2543"/>
    </row>
    <row r="14" spans="1:29" ht="14.25" thickBot="1">
      <c r="A14" s="1039"/>
      <c r="B14" s="1040"/>
      <c r="C14" s="1041" t="s">
        <v>654</v>
      </c>
      <c r="D14" s="2104"/>
      <c r="E14" s="1042"/>
      <c r="F14" s="1042"/>
      <c r="G14" s="1031" t="s">
        <v>655</v>
      </c>
    </row>
    <row r="15" spans="1:29" ht="54">
      <c r="A15" s="17" t="s">
        <v>656</v>
      </c>
      <c r="B15" s="6" t="s">
        <v>37</v>
      </c>
      <c r="C15" s="1043" t="str">
        <f>C3</f>
        <v>估价对象周边居住用地比例、居住小区规模和社区发展完善程度，综合评价居住社区成熟度一般</v>
      </c>
      <c r="D15" s="2104"/>
      <c r="E15" s="2552" t="s">
        <v>657</v>
      </c>
      <c r="F15" s="6" t="s">
        <v>658</v>
      </c>
      <c r="G15" s="881" t="str">
        <f>G3</f>
        <v>估价对象位于XX开发区，园区建设成熟度XX，产业集聚程度XX</v>
      </c>
    </row>
    <row r="16" spans="1:29" ht="40.5">
      <c r="A16" s="2555"/>
      <c r="B16" s="1044" t="s">
        <v>659</v>
      </c>
      <c r="C16" s="1045"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4" t="s">
        <v>661</v>
      </c>
      <c r="C17" s="1045" t="str">
        <f>C5</f>
        <v>估价对象位于XX商圈，周边办公楼项目较多，入驻率高，办公集聚程度较好</v>
      </c>
      <c r="D17" s="2105"/>
      <c r="E17" s="2553"/>
      <c r="F17" s="2065" t="s">
        <v>662</v>
      </c>
      <c r="G17" s="3055"/>
    </row>
    <row r="18" spans="1:18" ht="54">
      <c r="A18" s="2555"/>
      <c r="B18" s="2065" t="s">
        <v>67</v>
      </c>
      <c r="C18" s="883" t="str">
        <f>C6</f>
        <v>估价对象周边道路状况、公共交通通达情况、停车便捷程度，综合评价交通便捷度较好</v>
      </c>
      <c r="D18" s="2105"/>
      <c r="E18" s="2553"/>
      <c r="F18" s="2065" t="s">
        <v>650</v>
      </c>
      <c r="G18" s="883" t="str">
        <f>G7</f>
        <v>该园区内是否有污染型企业，绿化情况，卫生条件，整体环境状况判断</v>
      </c>
    </row>
    <row r="19" spans="1:18" ht="27">
      <c r="A19" s="2555"/>
      <c r="B19" s="2065" t="s">
        <v>86</v>
      </c>
      <c r="C19" s="3055"/>
      <c r="D19" s="2104"/>
      <c r="E19" s="2553"/>
      <c r="F19" s="2544" t="s">
        <v>2536</v>
      </c>
      <c r="G19" s="883" t="str">
        <f>G5</f>
        <v>估价对象所在区域公共配套设施齐备情况</v>
      </c>
    </row>
    <row r="20" spans="1:18" ht="40.5">
      <c r="A20" s="2555"/>
      <c r="B20" s="2065" t="s">
        <v>85</v>
      </c>
      <c r="C20" s="1045" t="str">
        <f>C9</f>
        <v>区域自然环境：；人文环境；综合评价环境状况一般</v>
      </c>
      <c r="D20" s="2105"/>
      <c r="E20" s="2553"/>
      <c r="F20" s="2544" t="s">
        <v>2537</v>
      </c>
      <c r="G20" s="883" t="str">
        <f>G6</f>
        <v>估价对象所在区域基础设施水平</v>
      </c>
    </row>
    <row r="21" spans="1:18" ht="27">
      <c r="A21" s="2555"/>
      <c r="B21" s="2544" t="s">
        <v>2536</v>
      </c>
      <c r="C21" s="883" t="str">
        <f>C7</f>
        <v>估价对象所在区域公共配套设施齐备情况</v>
      </c>
      <c r="D21" s="2104"/>
      <c r="E21" s="2553"/>
      <c r="F21" s="2065" t="s">
        <v>84</v>
      </c>
      <c r="G21" s="179"/>
    </row>
    <row r="22" spans="1:18" ht="27">
      <c r="A22" s="2555"/>
      <c r="B22" s="2544" t="s">
        <v>2537</v>
      </c>
      <c r="C22" s="883" t="str">
        <f>C8</f>
        <v>估价对象所在区域基础设施水平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6">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9" sqref="E9"/>
    </sheetView>
  </sheetViews>
  <sheetFormatPr defaultColWidth="14.625" defaultRowHeight="13.5"/>
  <cols>
    <col min="1" max="1" width="24.375" customWidth="1"/>
  </cols>
  <sheetData>
    <row r="1" spans="1:9" ht="16.5">
      <c r="A1" s="3017" t="s">
        <v>2823</v>
      </c>
      <c r="B1" s="3017">
        <f>SUM(B14:B23)</f>
        <v>418.07000000000005</v>
      </c>
      <c r="C1" s="3018"/>
      <c r="D1" s="3018"/>
      <c r="E1" s="3018"/>
      <c r="F1" s="3018"/>
      <c r="G1" s="3022"/>
    </row>
    <row r="2" spans="1:9" ht="16.5">
      <c r="A2" s="3017" t="s">
        <v>2824</v>
      </c>
      <c r="B2" s="3017">
        <f>SUM(C14:C23)</f>
        <v>0</v>
      </c>
      <c r="C2" s="3018"/>
      <c r="D2" s="3018"/>
      <c r="E2" s="3018"/>
      <c r="F2" s="3018"/>
      <c r="G2" s="3022"/>
    </row>
    <row r="3" spans="1:9" ht="16.5">
      <c r="A3" s="3017" t="s">
        <v>2825</v>
      </c>
      <c r="B3" s="3020">
        <f>项目基本情况!D2</f>
        <v>42998</v>
      </c>
      <c r="C3" s="3018"/>
      <c r="D3" s="3018"/>
      <c r="E3" s="3018"/>
      <c r="F3" s="3018"/>
      <c r="G3" s="3022"/>
    </row>
    <row r="4" spans="1:9" ht="33">
      <c r="A4" s="3017" t="s">
        <v>2826</v>
      </c>
      <c r="B4" s="3017" t="s">
        <v>2827</v>
      </c>
      <c r="C4" s="3017" t="s">
        <v>2828</v>
      </c>
      <c r="D4" s="3017" t="s">
        <v>2829</v>
      </c>
      <c r="E4" s="3018"/>
      <c r="F4" s="3022"/>
      <c r="G4" s="3022"/>
    </row>
    <row r="5" spans="1:9" ht="16.5">
      <c r="A5" s="3017" t="s">
        <v>2830</v>
      </c>
      <c r="B5" s="3017">
        <f ca="1">SUM(D14:D23)</f>
        <v>2083</v>
      </c>
      <c r="C5" s="3017">
        <f ca="1">ROUND(B5*10000/$B$1,0)</f>
        <v>49824</v>
      </c>
      <c r="D5" s="3017" t="e">
        <f ca="1">ROUND(B5*10000/$B$2,0)</f>
        <v>#DIV/0!</v>
      </c>
      <c r="E5" s="3018"/>
      <c r="F5" s="3022"/>
      <c r="G5" s="3022"/>
    </row>
    <row r="6" spans="1:9" ht="16.5">
      <c r="A6" s="3017" t="s">
        <v>2831</v>
      </c>
      <c r="B6" s="3017">
        <f ca="1">SUM(G14:G23)</f>
        <v>2083</v>
      </c>
      <c r="C6" s="3017">
        <f t="shared" ref="C6:C8" ca="1" si="0">ROUND(B6*10000/$B$1,0)</f>
        <v>49824</v>
      </c>
      <c r="D6" s="3017" t="e">
        <f t="shared" ref="D6:D8" ca="1" si="1">ROUND(B6*10000/$B$2,0)</f>
        <v>#DIV/0!</v>
      </c>
      <c r="E6" s="3018"/>
      <c r="F6" s="3022"/>
      <c r="G6" s="3022"/>
    </row>
    <row r="7" spans="1:9" ht="16.5">
      <c r="A7" s="3017" t="s">
        <v>2832</v>
      </c>
      <c r="B7" s="3017">
        <f>SUM(H14:H23)</f>
        <v>0</v>
      </c>
      <c r="C7" s="3017">
        <f>ROUND(B7*10000/$B$1,0)</f>
        <v>0</v>
      </c>
      <c r="D7" s="3017" t="e">
        <f t="shared" si="1"/>
        <v>#DIV/0!</v>
      </c>
      <c r="E7" s="3018"/>
      <c r="F7" s="3022"/>
      <c r="G7" s="3022"/>
    </row>
    <row r="8" spans="1:9" ht="16.5">
      <c r="A8" s="3017" t="s">
        <v>2833</v>
      </c>
      <c r="B8" s="3017">
        <f>SUM(I14:I23)</f>
        <v>0</v>
      </c>
      <c r="C8" s="3017">
        <f t="shared" si="0"/>
        <v>0</v>
      </c>
      <c r="D8" s="3017" t="e">
        <f t="shared" si="1"/>
        <v>#DIV/0!</v>
      </c>
      <c r="E8" s="3018"/>
      <c r="F8" s="3022"/>
      <c r="G8" s="3022"/>
    </row>
    <row r="9" spans="1:9" ht="16.5">
      <c r="A9" s="3017" t="s">
        <v>2834</v>
      </c>
      <c r="B9" s="3023"/>
      <c r="C9" s="3018"/>
      <c r="D9" s="3018"/>
      <c r="E9" s="3018"/>
      <c r="F9" s="3022"/>
      <c r="G9" s="3022"/>
    </row>
    <row r="10" spans="1:9" ht="16.5">
      <c r="A10" s="3017" t="s">
        <v>2835</v>
      </c>
      <c r="B10" s="3023"/>
      <c r="C10" s="3018"/>
      <c r="D10" s="3018"/>
      <c r="E10" s="3018"/>
      <c r="F10" s="3022"/>
      <c r="G10" s="3022"/>
    </row>
    <row r="11" spans="1:9" ht="16.5">
      <c r="A11" s="3017" t="s">
        <v>2850</v>
      </c>
      <c r="B11" s="3023"/>
      <c r="C11" s="3018"/>
      <c r="D11" s="3018"/>
      <c r="E11" s="3018"/>
      <c r="F11" s="3022"/>
      <c r="G11" s="3022"/>
    </row>
    <row r="12" spans="1:9" ht="16.5">
      <c r="A12" s="3018"/>
      <c r="B12" s="3018"/>
      <c r="C12" s="3018"/>
      <c r="D12" s="3018"/>
      <c r="E12" s="3018"/>
      <c r="F12" s="3022"/>
      <c r="G12" s="3022"/>
    </row>
    <row r="13" spans="1:9" ht="33">
      <c r="A13" s="3027" t="s">
        <v>2849</v>
      </c>
      <c r="B13" s="3021" t="s">
        <v>2823</v>
      </c>
      <c r="C13" s="3021" t="s">
        <v>2824</v>
      </c>
      <c r="D13" s="3021" t="s">
        <v>2836</v>
      </c>
      <c r="E13" s="3017" t="s">
        <v>2828</v>
      </c>
      <c r="F13" s="3017" t="s">
        <v>2829</v>
      </c>
      <c r="G13" s="3021" t="s">
        <v>2837</v>
      </c>
      <c r="H13" s="3021" t="s">
        <v>2838</v>
      </c>
      <c r="I13" s="3021" t="s">
        <v>2839</v>
      </c>
    </row>
    <row r="14" spans="1:9" ht="16.5">
      <c r="A14" s="3024" t="s">
        <v>2968</v>
      </c>
      <c r="B14" s="3021">
        <f>项目基本情况!C12</f>
        <v>255.46</v>
      </c>
      <c r="C14" s="3021">
        <f>项目基本情况!C13</f>
        <v>0</v>
      </c>
      <c r="D14" s="3021">
        <f ca="1">IF('数据-取费表'!B3="万元",IF(A14="估价对象1（结果表）",结果表!H121,'结果表 (1修多)'!H124),IF(A14="估价对象1（结果表）",结果表!H121,'结果表 (1修多)'!H124)/10000)</f>
        <v>1276</v>
      </c>
      <c r="E14" s="3021">
        <f ca="1">ROUND(D14*10000/B14,0)</f>
        <v>49949</v>
      </c>
      <c r="F14" s="3021" t="e">
        <f ca="1">ROUND(D14*10000/C14,0)</f>
        <v>#DIV/0!</v>
      </c>
      <c r="G14" s="3021">
        <f ca="1">IF('数据-取费表'!B3="万元",IF(A14="估价对象1（结果表）",结果表!D125,'结果表 (1修多)'!D128),IF(A14="估价对象1（结果表）",结果表!D125,'结果表 (1修多)'!D128)/10000)</f>
        <v>1276</v>
      </c>
      <c r="H14" s="3021" t="str">
        <f>IF('数据-取费表'!B3="万元",IF(A14="估价对象1（结果表）",结果表!D127,'结果表 (1修多)'!D130),IF(A14="估价对象1（结果表）",结果表!D127,'结果表 (1修多)'!D130)/10000)</f>
        <v>——</v>
      </c>
      <c r="I14" s="3021" t="str">
        <f>IF('数据-取费表'!B3="万元",IF(A14="估价对象1（结果表）",结果表!D129,'结果表 (1修多)'!D132),IF(A14="估价对象1（结果表）",结果表!D129,'结果表 (1修多)'!D132)/10000)</f>
        <v>——</v>
      </c>
    </row>
    <row r="15" spans="1:9" ht="16.5">
      <c r="A15" s="3019" t="s">
        <v>2840</v>
      </c>
      <c r="B15" s="3025">
        <f>[1]系统读取表!$B$14</f>
        <v>162.61000000000001</v>
      </c>
      <c r="C15" s="3025"/>
      <c r="D15" s="3025">
        <f ca="1">[1]系统读取表!$D$14</f>
        <v>807</v>
      </c>
      <c r="E15" s="3021">
        <f t="shared" ref="E15:E23" ca="1" si="2">ROUND(D15*10000/B15,0)</f>
        <v>49628</v>
      </c>
      <c r="F15" s="3021" t="e">
        <f t="shared" ref="F15:F23" ca="1" si="3">ROUND(D15*10000/C15,0)</f>
        <v>#DIV/0!</v>
      </c>
      <c r="G15" s="3026">
        <f ca="1">[1]系统读取表!$G$14</f>
        <v>807</v>
      </c>
      <c r="H15" s="3026"/>
      <c r="I15" s="3025"/>
    </row>
    <row r="16" spans="1:9" ht="16.5">
      <c r="A16" s="3019" t="s">
        <v>2841</v>
      </c>
      <c r="B16" s="3025"/>
      <c r="C16" s="3025"/>
      <c r="D16" s="3025"/>
      <c r="E16" s="3021" t="e">
        <f t="shared" si="2"/>
        <v>#DIV/0!</v>
      </c>
      <c r="F16" s="3021" t="e">
        <f t="shared" si="3"/>
        <v>#DIV/0!</v>
      </c>
      <c r="G16" s="3026"/>
      <c r="H16" s="3026"/>
      <c r="I16" s="3025"/>
    </row>
    <row r="17" spans="1:9" ht="16.5">
      <c r="A17" s="3019" t="s">
        <v>2842</v>
      </c>
      <c r="B17" s="3025"/>
      <c r="C17" s="3025"/>
      <c r="D17" s="3025"/>
      <c r="E17" s="3021" t="e">
        <f t="shared" si="2"/>
        <v>#DIV/0!</v>
      </c>
      <c r="F17" s="3021" t="e">
        <f t="shared" si="3"/>
        <v>#DIV/0!</v>
      </c>
      <c r="G17" s="3026"/>
      <c r="H17" s="3026"/>
      <c r="I17" s="3025"/>
    </row>
    <row r="18" spans="1:9" ht="16.5">
      <c r="A18" s="3019" t="s">
        <v>2843</v>
      </c>
      <c r="B18" s="3025"/>
      <c r="C18" s="3025"/>
      <c r="D18" s="3025"/>
      <c r="E18" s="3021" t="e">
        <f t="shared" si="2"/>
        <v>#DIV/0!</v>
      </c>
      <c r="F18" s="3021" t="e">
        <f t="shared" si="3"/>
        <v>#DIV/0!</v>
      </c>
      <c r="G18" s="3025"/>
      <c r="H18" s="3025"/>
      <c r="I18" s="3025"/>
    </row>
    <row r="19" spans="1:9" ht="16.5">
      <c r="A19" s="3019" t="s">
        <v>2844</v>
      </c>
      <c r="B19" s="3025"/>
      <c r="C19" s="3025"/>
      <c r="D19" s="3025"/>
      <c r="E19" s="3021" t="e">
        <f t="shared" si="2"/>
        <v>#DIV/0!</v>
      </c>
      <c r="F19" s="3021" t="e">
        <f t="shared" si="3"/>
        <v>#DIV/0!</v>
      </c>
      <c r="G19" s="3025"/>
      <c r="H19" s="3025"/>
      <c r="I19" s="3025"/>
    </row>
    <row r="20" spans="1:9" ht="16.5">
      <c r="A20" s="3019" t="s">
        <v>2845</v>
      </c>
      <c r="B20" s="3025"/>
      <c r="C20" s="3025"/>
      <c r="D20" s="3025"/>
      <c r="E20" s="3021" t="e">
        <f t="shared" si="2"/>
        <v>#DIV/0!</v>
      </c>
      <c r="F20" s="3021" t="e">
        <f t="shared" si="3"/>
        <v>#DIV/0!</v>
      </c>
      <c r="G20" s="3025"/>
      <c r="H20" s="3025"/>
      <c r="I20" s="3025"/>
    </row>
    <row r="21" spans="1:9" ht="16.5">
      <c r="A21" s="3019" t="s">
        <v>2846</v>
      </c>
      <c r="B21" s="3025"/>
      <c r="C21" s="3025"/>
      <c r="D21" s="3025"/>
      <c r="E21" s="3021" t="e">
        <f t="shared" si="2"/>
        <v>#DIV/0!</v>
      </c>
      <c r="F21" s="3021" t="e">
        <f t="shared" si="3"/>
        <v>#DIV/0!</v>
      </c>
      <c r="G21" s="3025"/>
      <c r="H21" s="3025"/>
      <c r="I21" s="3025"/>
    </row>
    <row r="22" spans="1:9" ht="16.5">
      <c r="A22" s="3019" t="s">
        <v>2847</v>
      </c>
      <c r="B22" s="3025"/>
      <c r="C22" s="3025"/>
      <c r="D22" s="3025"/>
      <c r="E22" s="3021" t="e">
        <f t="shared" si="2"/>
        <v>#DIV/0!</v>
      </c>
      <c r="F22" s="3021" t="e">
        <f t="shared" si="3"/>
        <v>#DIV/0!</v>
      </c>
      <c r="G22" s="3025"/>
      <c r="H22" s="3025"/>
      <c r="I22" s="3025"/>
    </row>
    <row r="23" spans="1:9" ht="16.5">
      <c r="A23" s="3019" t="s">
        <v>2848</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SheetLayoutView="100" zoomScalePageLayoutView="80" workbookViewId="0">
      <selection activeCell="F29" sqref="F29"/>
    </sheetView>
  </sheetViews>
  <sheetFormatPr defaultColWidth="12.625" defaultRowHeight="21.75" customHeight="1"/>
  <cols>
    <col min="1" max="2" width="12.625" style="1059"/>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676</v>
      </c>
      <c r="B1" s="1058"/>
      <c r="C1" s="1058"/>
      <c r="D1" s="1058"/>
      <c r="E1" s="1058"/>
      <c r="F1" s="1058"/>
      <c r="G1" s="1058"/>
      <c r="H1" s="1058"/>
      <c r="I1" s="1058"/>
    </row>
    <row r="2" spans="1:12" ht="21.75" customHeight="1">
      <c r="A2" s="3298" t="str">
        <f>项目基本情况!B1</f>
        <v>北京市房地产抵押价值预评估</v>
      </c>
      <c r="B2" s="3298"/>
      <c r="C2" s="3298"/>
      <c r="D2" s="3298"/>
      <c r="E2" s="3298"/>
      <c r="F2" s="3298"/>
      <c r="G2" s="3298"/>
      <c r="H2" s="3298"/>
      <c r="I2" s="3298"/>
    </row>
    <row r="3" spans="1:12" ht="12">
      <c r="A3" s="3306" t="s">
        <v>8</v>
      </c>
      <c r="B3" s="3307"/>
      <c r="C3" s="3307"/>
      <c r="D3" s="3307"/>
      <c r="E3" s="3307"/>
      <c r="F3" s="3307"/>
      <c r="G3" s="3307"/>
      <c r="H3" s="3307"/>
      <c r="I3" s="3307"/>
    </row>
    <row r="4" spans="1:12" ht="13.5">
      <c r="A4" s="237" t="s">
        <v>9</v>
      </c>
      <c r="B4" s="1808" t="s">
        <v>10</v>
      </c>
      <c r="C4" s="238" t="s">
        <v>2959</v>
      </c>
      <c r="D4" s="238" t="s">
        <v>2957</v>
      </c>
      <c r="E4" s="3311" t="s">
        <v>677</v>
      </c>
      <c r="F4" s="3312"/>
      <c r="G4" s="3312"/>
      <c r="H4" s="3312"/>
      <c r="I4" s="3313"/>
      <c r="K4" s="1225" t="str">
        <f>IF(ISNUMBER(FIND("比较法",结果表!C4)),"比较法",IF(ISNUMBER(FIND("成本法",结果表!C4)),"成本法",IF(ISNUMBER(FIND("假设开发法",结果表!C4)),"假设开发法",IF(ISNUMBER(FIND("收益法",结果表!C4)),"收益法","基准地价系数修正法"))))</f>
        <v>比较法</v>
      </c>
      <c r="L4" s="1225" t="str">
        <f>IF(ISNUMBER(FIND("比较法",结果表!D4)),"比较法",IF(ISNUMBER(FIND("成本法",结果表!D4)),"成本法",IF(ISNUMBER(FIND("假设开发法",结果表!D4)),"假设开发法",IF(ISNUMBER(FIND("收益法",结果表!D4)),"收益法","基准地价系数修正法"))))</f>
        <v>收益法</v>
      </c>
    </row>
    <row r="5" spans="1:12" ht="12.75">
      <c r="A5" s="3299" t="s">
        <v>11</v>
      </c>
      <c r="B5" s="3300">
        <v>25</v>
      </c>
      <c r="C5" s="3308"/>
      <c r="D5" s="3305"/>
      <c r="E5" s="272" t="s">
        <v>720</v>
      </c>
      <c r="F5" s="239"/>
      <c r="G5" s="239"/>
      <c r="H5" s="239"/>
      <c r="I5" s="240"/>
    </row>
    <row r="6" spans="1:12" ht="12.75">
      <c r="A6" s="3299"/>
      <c r="B6" s="3300"/>
      <c r="C6" s="3309"/>
      <c r="D6" s="3305"/>
      <c r="E6" s="272" t="s">
        <v>721</v>
      </c>
      <c r="F6" s="239"/>
      <c r="G6" s="239"/>
      <c r="H6" s="239"/>
      <c r="I6" s="240"/>
    </row>
    <row r="7" spans="1:12" ht="12.75">
      <c r="A7" s="3299"/>
      <c r="B7" s="3300"/>
      <c r="C7" s="3310"/>
      <c r="D7" s="3305"/>
      <c r="E7" s="272" t="s">
        <v>722</v>
      </c>
      <c r="F7" s="239"/>
      <c r="G7" s="239"/>
      <c r="H7" s="239"/>
      <c r="I7" s="240"/>
    </row>
    <row r="8" spans="1:12" ht="12.75">
      <c r="A8" s="3299" t="s">
        <v>12</v>
      </c>
      <c r="B8" s="3300">
        <v>15</v>
      </c>
      <c r="C8" s="3308"/>
      <c r="D8" s="3305"/>
      <c r="E8" s="272" t="s">
        <v>723</v>
      </c>
      <c r="F8" s="239"/>
      <c r="G8" s="239"/>
      <c r="H8" s="239"/>
      <c r="I8" s="240"/>
    </row>
    <row r="9" spans="1:12" ht="12.75">
      <c r="A9" s="3299"/>
      <c r="B9" s="3300"/>
      <c r="C9" s="3310"/>
      <c r="D9" s="3305"/>
      <c r="E9" s="272" t="s">
        <v>724</v>
      </c>
      <c r="F9" s="239"/>
      <c r="G9" s="239"/>
      <c r="H9" s="239"/>
      <c r="I9" s="240"/>
    </row>
    <row r="10" spans="1:12" ht="12.75">
      <c r="A10" s="3299" t="s">
        <v>13</v>
      </c>
      <c r="B10" s="3300">
        <v>15</v>
      </c>
      <c r="C10" s="3308"/>
      <c r="D10" s="3305"/>
      <c r="E10" s="272" t="s">
        <v>725</v>
      </c>
      <c r="F10" s="239"/>
      <c r="G10" s="239"/>
      <c r="H10" s="239"/>
      <c r="I10" s="240"/>
    </row>
    <row r="11" spans="1:12" ht="12.75">
      <c r="A11" s="3299"/>
      <c r="B11" s="3300"/>
      <c r="C11" s="3310"/>
      <c r="D11" s="3305"/>
      <c r="E11" s="272" t="s">
        <v>726</v>
      </c>
      <c r="F11" s="239"/>
      <c r="G11" s="239"/>
      <c r="H11" s="239"/>
      <c r="I11" s="240"/>
    </row>
    <row r="12" spans="1:12" ht="12.75">
      <c r="A12" s="3299" t="s">
        <v>14</v>
      </c>
      <c r="B12" s="3300">
        <v>15</v>
      </c>
      <c r="C12" s="3308"/>
      <c r="D12" s="3305"/>
      <c r="E12" s="272" t="s">
        <v>727</v>
      </c>
      <c r="F12" s="239"/>
      <c r="G12" s="239"/>
      <c r="H12" s="239"/>
      <c r="I12" s="240"/>
    </row>
    <row r="13" spans="1:12" ht="12.75">
      <c r="A13" s="3299"/>
      <c r="B13" s="3300"/>
      <c r="C13" s="3310"/>
      <c r="D13" s="3305"/>
      <c r="E13" s="272" t="s">
        <v>728</v>
      </c>
      <c r="F13" s="239"/>
      <c r="G13" s="239"/>
      <c r="H13" s="239"/>
      <c r="I13" s="240"/>
    </row>
    <row r="14" spans="1:12" ht="12.75">
      <c r="A14" s="3299" t="s">
        <v>15</v>
      </c>
      <c r="B14" s="3300">
        <v>30</v>
      </c>
      <c r="C14" s="3308">
        <v>5</v>
      </c>
      <c r="D14" s="3305">
        <v>5</v>
      </c>
      <c r="E14" s="272" t="s">
        <v>729</v>
      </c>
      <c r="F14" s="239"/>
      <c r="G14" s="239"/>
      <c r="H14" s="239"/>
      <c r="I14" s="240"/>
    </row>
    <row r="15" spans="1:12" ht="12.75">
      <c r="A15" s="3299"/>
      <c r="B15" s="3300"/>
      <c r="C15" s="3309"/>
      <c r="D15" s="3305"/>
      <c r="E15" s="272" t="s">
        <v>730</v>
      </c>
      <c r="F15" s="239"/>
      <c r="G15" s="239"/>
      <c r="H15" s="239"/>
      <c r="I15" s="240"/>
    </row>
    <row r="16" spans="1:12" ht="12.75">
      <c r="A16" s="3299"/>
      <c r="B16" s="3300"/>
      <c r="C16" s="3310"/>
      <c r="D16" s="3305"/>
      <c r="E16" s="272" t="s">
        <v>731</v>
      </c>
      <c r="F16" s="239"/>
      <c r="G16" s="239"/>
      <c r="H16" s="239"/>
      <c r="I16" s="240"/>
    </row>
    <row r="17" spans="1:35" ht="14.25">
      <c r="A17" s="241" t="s">
        <v>16</v>
      </c>
      <c r="B17" s="10"/>
      <c r="C17" s="273">
        <f>SUM(C5:C16)</f>
        <v>5</v>
      </c>
      <c r="D17" s="273">
        <f>SUM(D5:D16)</f>
        <v>5</v>
      </c>
      <c r="E17" s="1058"/>
      <c r="F17" s="1058"/>
      <c r="G17" s="1058"/>
      <c r="H17" s="1058"/>
      <c r="I17" s="1058"/>
    </row>
    <row r="18" spans="1:35" ht="15" thickBot="1">
      <c r="A18" s="242" t="s">
        <v>17</v>
      </c>
      <c r="B18" s="8"/>
      <c r="C18" s="274">
        <f>ROUND(C17/SUM(C17:D17),2)</f>
        <v>0.5</v>
      </c>
      <c r="D18" s="274">
        <f>1-C18</f>
        <v>0.5</v>
      </c>
      <c r="E18" s="1058"/>
      <c r="F18" s="1058"/>
      <c r="G18" s="1058"/>
      <c r="H18" s="1058"/>
      <c r="I18" s="1058"/>
    </row>
    <row r="19" spans="1:35" ht="14.25">
      <c r="A19" s="243" t="s">
        <v>187</v>
      </c>
      <c r="B19" s="244" t="s">
        <v>18</v>
      </c>
      <c r="C19" s="275">
        <f ca="1">SUMIF(INDIRECT("'"&amp;C4&amp;"'"&amp;"!A:A"),结果表!B19,INDIRECT("'"&amp;C4&amp;"'"&amp;"!B:B"))</f>
        <v>1426</v>
      </c>
      <c r="D19" s="276">
        <f ca="1">SUMIF(INDIRECT("'"&amp;D4&amp;"'"&amp;"!A:A"),结果表!B19,INDIRECT("'"&amp;D4&amp;"'"&amp;"!B:B"))</f>
        <v>1125</v>
      </c>
      <c r="E19" s="243" t="s">
        <v>186</v>
      </c>
      <c r="F19" s="244" t="s">
        <v>18</v>
      </c>
      <c r="G19" s="277">
        <f ca="1">ROUND(C19*$C$18+D19*$D$18,0)</f>
        <v>1276</v>
      </c>
      <c r="H19" s="2017" t="str">
        <f>'数据-取费表'!B3</f>
        <v>万元</v>
      </c>
      <c r="I19" s="1058"/>
    </row>
    <row r="20" spans="1:35" ht="14.25">
      <c r="A20" s="245"/>
      <c r="B20" s="246" t="s">
        <v>19</v>
      </c>
      <c r="C20" s="278">
        <f ca="1">SUMIF(INDIRECT("'"&amp;C4&amp;"'"&amp;"!A:A"),结果表!B20,INDIRECT("'"&amp;C4&amp;"'"&amp;"!B:B"))</f>
        <v>55805</v>
      </c>
      <c r="D20" s="279">
        <f ca="1">SUMIF(INDIRECT("'"&amp;D4&amp;"'"&amp;"!A:A"),结果表!B20,INDIRECT("'"&amp;D4&amp;"'"&amp;"!B:B"))</f>
        <v>44038</v>
      </c>
      <c r="E20" s="245"/>
      <c r="F20" s="246" t="s">
        <v>19</v>
      </c>
      <c r="G20" s="280">
        <f ca="1">ROUND(C20*$C$18+D20*$D$18,0)</f>
        <v>49922</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0.26755555555555555</v>
      </c>
      <c r="E22" s="1058"/>
      <c r="F22" s="1058"/>
      <c r="G22" s="1058"/>
      <c r="H22" s="1058"/>
      <c r="I22" s="1058"/>
    </row>
    <row r="23" spans="1:35" ht="12.75" thickBot="1">
      <c r="A23" s="1058"/>
      <c r="B23" s="1058"/>
      <c r="C23" s="1058"/>
      <c r="D23" s="1058"/>
      <c r="E23" s="1058"/>
      <c r="F23" s="1058"/>
      <c r="G23" s="1058"/>
      <c r="H23" s="1058"/>
      <c r="I23" s="1058"/>
    </row>
    <row r="24" spans="1:35" ht="21.75" customHeight="1">
      <c r="A24" s="3314" t="s">
        <v>184</v>
      </c>
      <c r="B24" s="244" t="s">
        <v>18</v>
      </c>
      <c r="C24" s="277">
        <f>D30</f>
        <v>0</v>
      </c>
      <c r="D24" s="251"/>
      <c r="E24" s="1058"/>
      <c r="F24" s="1058"/>
      <c r="G24" s="1058"/>
      <c r="H24" s="1058"/>
      <c r="I24" s="1058"/>
    </row>
    <row r="25" spans="1:35" ht="21.75" customHeight="1">
      <c r="A25" s="3315"/>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c r="B27" s="283">
        <v>0</v>
      </c>
      <c r="C27" s="283">
        <v>0</v>
      </c>
      <c r="D27" s="284">
        <f>ROUND(C27*B27/10000,0)</f>
        <v>0</v>
      </c>
      <c r="E27" s="1058"/>
      <c r="F27" s="1058"/>
      <c r="G27" s="1058"/>
      <c r="H27" s="1058"/>
      <c r="I27" s="1058"/>
    </row>
    <row r="28" spans="1:35" ht="14.25">
      <c r="A28" s="253"/>
      <c r="B28" s="283"/>
      <c r="C28" s="283"/>
      <c r="D28" s="284">
        <f t="shared" ref="D28:D29" si="0">ROUND(C28*B28/10000,0)</f>
        <v>0</v>
      </c>
      <c r="E28" s="1058"/>
      <c r="F28" s="1058"/>
      <c r="G28" s="1058"/>
      <c r="H28" s="1058"/>
      <c r="I28" s="1058"/>
    </row>
    <row r="29" spans="1:35" ht="14.25">
      <c r="A29" s="253"/>
      <c r="B29" s="283"/>
      <c r="C29" s="283"/>
      <c r="D29" s="284">
        <f t="shared" si="0"/>
        <v>0</v>
      </c>
      <c r="E29" s="1058"/>
      <c r="F29" s="1058"/>
      <c r="G29" s="1058"/>
      <c r="H29" s="1058"/>
      <c r="I29" s="1058"/>
    </row>
    <row r="30" spans="1:35" ht="14.25">
      <c r="A30" s="256" t="s">
        <v>183</v>
      </c>
      <c r="B30" s="285">
        <f>SUM(B27:B29)</f>
        <v>0</v>
      </c>
      <c r="C30" s="285" t="e">
        <f>ROUND(D30*10000/B30,0)</f>
        <v>#DIV/0!</v>
      </c>
      <c r="D30" s="285">
        <f>SUM(D27:D29)</f>
        <v>0</v>
      </c>
      <c r="E30" s="1058"/>
      <c r="F30" s="1058"/>
      <c r="G30" s="1058"/>
      <c r="H30" s="1058"/>
      <c r="I30" s="1058"/>
    </row>
    <row r="31" spans="1:35" s="1060" customFormat="1" ht="14.25" thickBot="1">
      <c r="A31" s="257"/>
      <c r="B31" s="257"/>
      <c r="C31" s="257"/>
      <c r="D31" s="257"/>
      <c r="E31" s="1058"/>
      <c r="F31" s="1058"/>
      <c r="G31" s="1058"/>
      <c r="H31" s="1058"/>
      <c r="I31" s="1058"/>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5" thickBot="1">
      <c r="A32" s="1974" t="s">
        <v>182</v>
      </c>
      <c r="B32" s="2019" t="str">
        <f>'数据-取费表'!B4</f>
        <v>总价</v>
      </c>
      <c r="C32" s="1975">
        <f ca="1">IF(B32="总价",G19-C24,G20-C25)</f>
        <v>1276</v>
      </c>
      <c r="D32" s="1058" t="str">
        <f>IF(B32="楼面单价","元/平方米",H19)</f>
        <v>万元</v>
      </c>
      <c r="E32" s="1058"/>
      <c r="F32" s="1058"/>
      <c r="G32" s="1058"/>
      <c r="H32" s="1058"/>
      <c r="I32" s="1058"/>
    </row>
    <row r="33" spans="1:16" ht="13.5">
      <c r="A33" s="1971" t="s">
        <v>678</v>
      </c>
      <c r="B33" s="1972"/>
      <c r="C33" s="1973"/>
      <c r="D33" s="1888"/>
      <c r="E33" s="1886" t="s">
        <v>2011</v>
      </c>
      <c r="F33" s="1883" t="str">
        <f>IF(B32="楼面单价","取值（单价）","取值（总价）")</f>
        <v>取值（总价）</v>
      </c>
      <c r="G33" s="1058"/>
      <c r="H33" s="1058"/>
      <c r="I33" s="1058"/>
    </row>
    <row r="34" spans="1:16" ht="15">
      <c r="A34" s="259"/>
      <c r="B34" s="260" t="s">
        <v>681</v>
      </c>
      <c r="C34" s="289">
        <f ca="1">IF(D33="自定义",F34,C32-C35)</f>
        <v>1166</v>
      </c>
      <c r="D34" s="1887">
        <f ca="1">IF(D33="自定义",ROUND(C34/C32,3),1-D35)</f>
        <v>0.91400000000000003</v>
      </c>
      <c r="E34" s="1884" t="s">
        <v>2012</v>
      </c>
      <c r="F34" s="3013">
        <v>2000</v>
      </c>
      <c r="G34" s="1058"/>
      <c r="H34" s="1058"/>
      <c r="I34" s="1058"/>
    </row>
    <row r="35" spans="1:16" ht="15.75" thickBot="1">
      <c r="A35" s="262"/>
      <c r="B35" s="263" t="s">
        <v>683</v>
      </c>
      <c r="C35" s="290">
        <f ca="1">IF(D33="自定义",F35,ROUND(C32*D35,0))</f>
        <v>110</v>
      </c>
      <c r="D35" s="1882">
        <f ca="1">IF(D33="自定义",ROUND(C35/C32,3),IF(D33="成本法成本比率",成本法!C56,IF(D33="收益法收益比率",收益法!J38,收益法!J41)))</f>
        <v>8.5999999999999993E-2</v>
      </c>
      <c r="E35" s="1885" t="s">
        <v>2013</v>
      </c>
      <c r="F35" s="296">
        <v>4460</v>
      </c>
      <c r="G35" s="1058"/>
      <c r="H35" s="1058"/>
      <c r="I35" s="1058"/>
    </row>
    <row r="36" spans="1:16" ht="15.75" thickBot="1">
      <c r="A36" s="3321" t="s">
        <v>679</v>
      </c>
      <c r="B36" s="258" t="s">
        <v>680</v>
      </c>
      <c r="C36" s="286">
        <v>0</v>
      </c>
      <c r="D36" s="1889"/>
      <c r="E36" s="1793"/>
      <c r="F36" s="1793"/>
      <c r="G36" s="1058"/>
      <c r="H36" s="1058"/>
      <c r="I36" s="1058"/>
    </row>
    <row r="37" spans="1:16" ht="15.75" thickBot="1">
      <c r="A37" s="3322"/>
      <c r="B37" s="5" t="s">
        <v>682</v>
      </c>
      <c r="C37" s="288">
        <v>0</v>
      </c>
      <c r="D37" s="8"/>
      <c r="E37" s="8"/>
      <c r="F37" s="1793"/>
      <c r="G37" s="8"/>
      <c r="H37" s="8"/>
      <c r="I37" s="8"/>
    </row>
    <row r="38" spans="1:16" ht="15.75" thickBot="1">
      <c r="A38" s="3323"/>
      <c r="B38" s="261" t="s">
        <v>684</v>
      </c>
      <c r="C38" s="1000">
        <v>0</v>
      </c>
      <c r="D38" s="1061" t="s">
        <v>685</v>
      </c>
      <c r="E38" s="8"/>
      <c r="F38" s="1793"/>
      <c r="G38" s="8"/>
      <c r="H38" s="8"/>
      <c r="I38" s="8"/>
    </row>
    <row r="39" spans="1:16" ht="13.5">
      <c r="A39" s="245" t="s">
        <v>686</v>
      </c>
      <c r="B39" s="264" t="s">
        <v>687</v>
      </c>
      <c r="C39" s="265" t="s">
        <v>688</v>
      </c>
      <c r="D39" s="265" t="s">
        <v>689</v>
      </c>
      <c r="E39" s="266" t="s">
        <v>690</v>
      </c>
      <c r="F39" s="1793"/>
      <c r="G39" s="8"/>
      <c r="H39" s="8"/>
      <c r="I39" s="8"/>
    </row>
    <row r="40" spans="1:16" ht="13.5">
      <c r="A40" s="1062" t="s">
        <v>691</v>
      </c>
      <c r="B40" s="291"/>
      <c r="C40" s="292"/>
      <c r="D40" s="292"/>
      <c r="E40" s="293"/>
      <c r="F40" s="1793"/>
      <c r="G40" s="8"/>
      <c r="H40" s="8"/>
      <c r="I40" s="8"/>
    </row>
    <row r="41" spans="1:16" ht="13.5">
      <c r="A41" s="1062" t="s">
        <v>692</v>
      </c>
      <c r="B41" s="291"/>
      <c r="C41" s="292"/>
      <c r="D41" s="292"/>
      <c r="E41" s="293"/>
      <c r="F41" s="1793"/>
      <c r="G41" s="8"/>
      <c r="H41" s="8"/>
      <c r="I41" s="8"/>
    </row>
    <row r="42" spans="1:16" ht="14.25" thickBot="1">
      <c r="A42" s="1063"/>
      <c r="B42" s="294"/>
      <c r="C42" s="295"/>
      <c r="D42" s="295"/>
      <c r="E42" s="296"/>
      <c r="F42" s="1793"/>
      <c r="G42" s="8"/>
      <c r="H42" s="8"/>
      <c r="I42" s="8"/>
    </row>
    <row r="43" spans="1:16" ht="12">
      <c r="A43" s="168"/>
      <c r="B43" s="168"/>
      <c r="C43" s="168"/>
      <c r="D43" s="168"/>
      <c r="E43" s="168"/>
      <c r="F43" s="1064"/>
      <c r="G43" s="1064"/>
      <c r="H43" s="1064"/>
      <c r="I43" s="1065"/>
    </row>
    <row r="44" spans="1:16" ht="18.75">
      <c r="A44" s="1066" t="s">
        <v>693</v>
      </c>
      <c r="B44" s="1067"/>
      <c r="C44" s="1067"/>
      <c r="D44" s="1068"/>
      <c r="E44" s="1068"/>
      <c r="F44" s="1069"/>
      <c r="G44" s="1069"/>
      <c r="H44" s="1069"/>
      <c r="I44" s="1069"/>
      <c r="J44" s="1226" t="s">
        <v>215</v>
      </c>
      <c r="K44" s="1227"/>
      <c r="L44" s="1227"/>
      <c r="M44" s="1227"/>
      <c r="N44" s="1227"/>
      <c r="O44" s="1227"/>
      <c r="P44" s="1225"/>
    </row>
    <row r="45" spans="1:16" ht="14.25" customHeight="1" thickBot="1">
      <c r="A45" s="3327" t="s">
        <v>712</v>
      </c>
      <c r="B45" s="3328"/>
      <c r="C45" s="3329"/>
      <c r="D45" s="297">
        <f ca="1">ROUND(I102*F45,0)</f>
        <v>1276</v>
      </c>
      <c r="E45" s="298" t="s">
        <v>713</v>
      </c>
      <c r="F45" s="299">
        <v>1</v>
      </c>
      <c r="G45" s="300" t="s">
        <v>714</v>
      </c>
      <c r="H45" s="1058"/>
      <c r="I45" s="1058"/>
      <c r="J45" s="3231" t="s">
        <v>216</v>
      </c>
      <c r="K45" s="3231"/>
      <c r="L45" s="3231"/>
      <c r="M45" s="3231"/>
      <c r="N45" s="3231"/>
      <c r="O45" s="3231"/>
      <c r="P45" s="1225"/>
    </row>
    <row r="46" spans="1:16" ht="14.25" customHeight="1">
      <c r="A46" s="3316" t="s">
        <v>300</v>
      </c>
      <c r="B46" s="3317"/>
      <c r="C46" s="3317"/>
      <c r="D46" s="3317"/>
      <c r="E46" s="3317"/>
      <c r="F46" s="3317"/>
      <c r="G46" s="3318"/>
      <c r="H46" s="1070"/>
      <c r="I46" s="1024"/>
      <c r="J46" s="3030">
        <v>1</v>
      </c>
      <c r="K46" s="3231" t="s">
        <v>217</v>
      </c>
      <c r="L46" s="3231"/>
      <c r="M46" s="3232" t="str">
        <f>项目基本情况!B1</f>
        <v>北京市房地产抵押价值预评估</v>
      </c>
      <c r="N46" s="3232"/>
      <c r="O46" s="3232"/>
      <c r="P46" s="1225"/>
    </row>
    <row r="47" spans="1:16" ht="12" customHeight="1">
      <c r="A47" s="302" t="s">
        <v>301</v>
      </c>
      <c r="B47" s="303"/>
      <c r="C47" s="304"/>
      <c r="D47" s="305" t="s">
        <v>302</v>
      </c>
      <c r="E47" s="197" t="s">
        <v>303</v>
      </c>
      <c r="F47" s="306" t="s">
        <v>715</v>
      </c>
      <c r="G47" s="307" t="s">
        <v>716</v>
      </c>
      <c r="H47" s="1070"/>
      <c r="I47" s="1024"/>
      <c r="J47" s="3030">
        <v>2</v>
      </c>
      <c r="K47" s="3231" t="s">
        <v>218</v>
      </c>
      <c r="L47" s="3231"/>
      <c r="M47" s="3233">
        <f>'数据-取费表'!B2</f>
        <v>42998</v>
      </c>
      <c r="N47" s="3233"/>
      <c r="O47" s="3233"/>
      <c r="P47" s="1225"/>
    </row>
    <row r="48" spans="1:16" ht="25.5">
      <c r="A48" s="3324" t="s">
        <v>304</v>
      </c>
      <c r="B48" s="3325"/>
      <c r="C48" s="3325"/>
      <c r="D48" s="272">
        <f ca="1">IF(H48="情况1",0,IF(H48="情况2",D52,IF(H48="情况3",D53,IF(H48="情况4",D54))))</f>
        <v>68</v>
      </c>
      <c r="E48" s="1805" t="str">
        <f>IF(H48="情况4","(销售额-原购置价)×税（费）率","销售额×税（费）率")</f>
        <v>销售额×税（费）率</v>
      </c>
      <c r="F48" s="308">
        <f>IF(H48="情况1","免征",'数据-取费表'!E29)</f>
        <v>5.6000000000000001E-2</v>
      </c>
      <c r="G48" s="267" t="s">
        <v>694</v>
      </c>
      <c r="H48" s="1219" t="s">
        <v>1052</v>
      </c>
      <c r="I48" s="1070"/>
      <c r="J48" s="3030">
        <v>3</v>
      </c>
      <c r="K48" s="3231" t="s">
        <v>695</v>
      </c>
      <c r="L48" s="3231"/>
      <c r="M48" s="3234">
        <f ca="1">I102</f>
        <v>1276</v>
      </c>
      <c r="N48" s="3234"/>
      <c r="O48" s="3234"/>
      <c r="P48" s="1225"/>
    </row>
    <row r="49" spans="1:16" ht="25.5" customHeight="1">
      <c r="A49" s="309" t="s">
        <v>717</v>
      </c>
      <c r="B49" s="3302" t="s">
        <v>718</v>
      </c>
      <c r="C49" s="3302"/>
      <c r="D49" s="310">
        <v>0</v>
      </c>
      <c r="E49" s="196" t="s">
        <v>719</v>
      </c>
      <c r="F49" s="201" t="s">
        <v>178</v>
      </c>
      <c r="G49" s="3222"/>
      <c r="H49" s="1058"/>
      <c r="I49" s="1071"/>
      <c r="J49" s="3030">
        <v>4</v>
      </c>
      <c r="K49" s="3231" t="str">
        <f>IF(项目基本情况!F5="房地产抵押价值","房地产抵押价值","抵押担保权已注销时的房地产抵押价值")</f>
        <v>房地产抵押价值</v>
      </c>
      <c r="L49" s="3231"/>
      <c r="M49" s="3234" t="str">
        <f>IF(项目基本情况!E8="房地产抵押价值",I110,I112)</f>
        <v>——</v>
      </c>
      <c r="N49" s="3234"/>
      <c r="O49" s="3234"/>
      <c r="P49" s="1225"/>
    </row>
    <row r="50" spans="1:16" ht="25.5" customHeight="1">
      <c r="A50" s="311"/>
      <c r="B50" s="3302" t="s">
        <v>307</v>
      </c>
      <c r="C50" s="3302"/>
      <c r="D50" s="312"/>
      <c r="E50" s="204"/>
      <c r="F50" s="313"/>
      <c r="G50" s="3223"/>
      <c r="H50" s="1058"/>
      <c r="I50" s="1071"/>
      <c r="J50" s="3231" t="s">
        <v>219</v>
      </c>
      <c r="K50" s="3231"/>
      <c r="L50" s="3231"/>
      <c r="M50" s="3231"/>
      <c r="N50" s="3231"/>
      <c r="O50" s="3231"/>
      <c r="P50" s="1225"/>
    </row>
    <row r="51" spans="1:16" ht="12" customHeight="1">
      <c r="A51" s="314"/>
      <c r="B51" s="3302" t="s">
        <v>308</v>
      </c>
      <c r="C51" s="3302"/>
      <c r="D51" s="315"/>
      <c r="E51" s="203"/>
      <c r="F51" s="313"/>
      <c r="G51" s="3224"/>
      <c r="H51" s="1058"/>
      <c r="I51" s="1071"/>
      <c r="J51" s="3028" t="s">
        <v>220</v>
      </c>
      <c r="K51" s="3231" t="s">
        <v>221</v>
      </c>
      <c r="L51" s="3231"/>
      <c r="M51" s="3028" t="s">
        <v>222</v>
      </c>
      <c r="N51" s="3028" t="s">
        <v>223</v>
      </c>
      <c r="O51" s="3028" t="s">
        <v>224</v>
      </c>
      <c r="P51" s="1225"/>
    </row>
    <row r="52" spans="1:16" ht="24" customHeight="1">
      <c r="A52" s="316" t="s">
        <v>309</v>
      </c>
      <c r="B52" s="3302" t="s">
        <v>310</v>
      </c>
      <c r="C52" s="3302"/>
      <c r="D52" s="315">
        <f ca="1">ROUND(D45*'数据-取费表'!E29/(1+'数据-取费表'!F30),0)</f>
        <v>68</v>
      </c>
      <c r="E52" s="193" t="s">
        <v>311</v>
      </c>
      <c r="F52" s="317">
        <f>'数据-取费表'!E29</f>
        <v>5.6000000000000001E-2</v>
      </c>
      <c r="G52" s="268"/>
      <c r="H52" s="1058"/>
      <c r="I52" s="1071"/>
      <c r="J52" s="3030">
        <v>1</v>
      </c>
      <c r="K52" s="3221" t="s">
        <v>696</v>
      </c>
      <c r="L52" s="3221"/>
      <c r="M52" s="1228">
        <f ca="1">D48</f>
        <v>68</v>
      </c>
      <c r="N52" s="3029" t="str">
        <f>E48</f>
        <v>销售额×税（费）率</v>
      </c>
      <c r="O52" s="1229">
        <f>F48</f>
        <v>5.6000000000000001E-2</v>
      </c>
      <c r="P52" s="1225"/>
    </row>
    <row r="53" spans="1:16" ht="12" customHeight="1">
      <c r="A53" s="316" t="s">
        <v>312</v>
      </c>
      <c r="B53" s="3301" t="s">
        <v>313</v>
      </c>
      <c r="C53" s="3304"/>
      <c r="D53" s="315">
        <f ca="1">ROUND(D45*'数据-取费表'!E29/(1+'数据-取费表'!F30),0)</f>
        <v>68</v>
      </c>
      <c r="E53" s="193" t="s">
        <v>311</v>
      </c>
      <c r="F53" s="317">
        <f>'数据-取费表'!E29</f>
        <v>5.6000000000000001E-2</v>
      </c>
      <c r="G53" s="268"/>
      <c r="H53" s="1058"/>
      <c r="I53" s="1071"/>
      <c r="J53" s="3030">
        <v>2</v>
      </c>
      <c r="K53" s="3221" t="s">
        <v>697</v>
      </c>
      <c r="L53" s="3221"/>
      <c r="M53" s="1228">
        <f t="shared" ref="M53:O54" ca="1" si="1">D55</f>
        <v>1</v>
      </c>
      <c r="N53" s="3029" t="str">
        <f t="shared" si="1"/>
        <v>销售额×税（费）率</v>
      </c>
      <c r="O53" s="1229">
        <f t="shared" si="1"/>
        <v>5.0000000000000001E-4</v>
      </c>
      <c r="P53" s="1225"/>
    </row>
    <row r="54" spans="1:16" ht="12" customHeight="1">
      <c r="A54" s="316" t="s">
        <v>314</v>
      </c>
      <c r="B54" s="3301" t="s">
        <v>315</v>
      </c>
      <c r="C54" s="3304"/>
      <c r="D54" s="315">
        <f ca="1">C68</f>
        <v>68</v>
      </c>
      <c r="E54" s="203" t="s">
        <v>316</v>
      </c>
      <c r="F54" s="317">
        <f>'数据-取费表'!E29</f>
        <v>5.6000000000000001E-2</v>
      </c>
      <c r="G54" s="268"/>
      <c r="H54" s="1072"/>
      <c r="I54" s="1071"/>
      <c r="J54" s="3030">
        <v>3</v>
      </c>
      <c r="K54" s="3221" t="s">
        <v>698</v>
      </c>
      <c r="L54" s="3221"/>
      <c r="M54" s="1228">
        <f t="shared" ca="1" si="1"/>
        <v>722</v>
      </c>
      <c r="N54" s="3029" t="str">
        <f t="shared" si="1"/>
        <v>增值额×税（费）率</v>
      </c>
      <c r="O54" s="1230" t="str">
        <f t="shared" si="1"/>
        <v>——</v>
      </c>
      <c r="P54" s="1225"/>
    </row>
    <row r="55" spans="1:16" ht="24" customHeight="1">
      <c r="A55" s="3330" t="s">
        <v>317</v>
      </c>
      <c r="B55" s="3325"/>
      <c r="C55" s="3325"/>
      <c r="D55" s="318">
        <f ca="1">IF(H55="个人住宅",0,ROUND(D45*I55,0))</f>
        <v>1</v>
      </c>
      <c r="E55" s="193" t="s">
        <v>318</v>
      </c>
      <c r="F55" s="317">
        <f>IF(H55="正常",I55,"免征")</f>
        <v>5.0000000000000001E-4</v>
      </c>
      <c r="G55" s="268"/>
      <c r="H55" s="1219" t="s">
        <v>157</v>
      </c>
      <c r="I55" s="319">
        <f>'数据-取费表'!E37</f>
        <v>5.0000000000000001E-4</v>
      </c>
      <c r="J55" s="3030">
        <f>IF(H59="非个人房产","",4)</f>
        <v>4</v>
      </c>
      <c r="K55" s="3221" t="str">
        <f>IF(H59="非个人房产","——","个人所得税")</f>
        <v>个人所得税</v>
      </c>
      <c r="L55" s="3221"/>
      <c r="M55" s="1231">
        <f ca="1">D59</f>
        <v>13</v>
      </c>
      <c r="N55" s="1232" t="str">
        <f>E59</f>
        <v>销售额×税（费）率</v>
      </c>
      <c r="O55" s="1233">
        <f>F59</f>
        <v>0.01</v>
      </c>
      <c r="P55" s="1225"/>
    </row>
    <row r="56" spans="1:16" ht="24.75">
      <c r="A56" s="3330" t="s">
        <v>319</v>
      </c>
      <c r="B56" s="3325"/>
      <c r="C56" s="3325"/>
      <c r="D56" s="318">
        <f ca="1">IF(H56="个人住宅",D57,D58)</f>
        <v>722</v>
      </c>
      <c r="E56" s="193" t="s">
        <v>320</v>
      </c>
      <c r="F56" s="317" t="str">
        <f>IF(H56="正常",F58,"免征")</f>
        <v>——</v>
      </c>
      <c r="G56" s="1073" t="s">
        <v>699</v>
      </c>
      <c r="H56" s="1218" t="s">
        <v>157</v>
      </c>
      <c r="I56" s="167"/>
      <c r="J56" s="3030" t="str">
        <f>IF(项目基本情况!I6="上海银行",IF(J55="",4,J55+1),"")</f>
        <v/>
      </c>
      <c r="K56" s="3240" t="str">
        <f>IF(项目基本情况!I6="上海银行","其他处置费用","")</f>
        <v/>
      </c>
      <c r="L56" s="3241"/>
      <c r="M56" s="1228" t="str">
        <f>IF(项目基本情况!I6="上海银行",M69,"")</f>
        <v/>
      </c>
      <c r="N56" s="3219" t="str">
        <f>IF(项目基本情况!I6="上海银行","包含处置中涉及的律师、诉讼、拍卖、评估等费用","")</f>
        <v/>
      </c>
      <c r="O56" s="3220"/>
      <c r="P56" s="1225"/>
    </row>
    <row r="57" spans="1:16" ht="12.75">
      <c r="A57" s="316" t="s">
        <v>305</v>
      </c>
      <c r="B57" s="3319" t="s">
        <v>321</v>
      </c>
      <c r="C57" s="3326"/>
      <c r="D57" s="320">
        <v>0</v>
      </c>
      <c r="E57" s="196" t="s">
        <v>306</v>
      </c>
      <c r="F57" s="287"/>
      <c r="G57" s="268"/>
      <c r="H57" s="167"/>
      <c r="I57" s="167"/>
      <c r="J57" s="3239">
        <f>IF(AND(J55="",J56=""),4,IF(项目基本情况!I6="上海银行",J56+1,J55+1))</f>
        <v>5</v>
      </c>
      <c r="K57" s="3221" t="s">
        <v>700</v>
      </c>
      <c r="L57" s="1234" t="s">
        <v>225</v>
      </c>
      <c r="M57" s="1235"/>
      <c r="N57" s="1236">
        <f ca="1">SUMIF(M52:M56,"&lt;9e307")</f>
        <v>804</v>
      </c>
      <c r="O57" s="1237"/>
      <c r="P57" s="3031" t="e">
        <f ca="1">N57/M49</f>
        <v>#VALUE!</v>
      </c>
    </row>
    <row r="58" spans="1:16" ht="24.75">
      <c r="A58" s="316" t="s">
        <v>309</v>
      </c>
      <c r="B58" s="3319" t="s">
        <v>322</v>
      </c>
      <c r="C58" s="3320"/>
      <c r="D58" s="318">
        <f ca="1">IF(H58="转让取得",C81,C97)</f>
        <v>722</v>
      </c>
      <c r="E58" s="193" t="s">
        <v>320</v>
      </c>
      <c r="F58" s="197" t="s">
        <v>178</v>
      </c>
      <c r="G58" s="268"/>
      <c r="H58" s="1218" t="s">
        <v>1051</v>
      </c>
      <c r="I58" s="167"/>
      <c r="J58" s="3239"/>
      <c r="K58" s="3221"/>
      <c r="L58" s="1234" t="s">
        <v>226</v>
      </c>
      <c r="M58" s="1238"/>
      <c r="N58" s="1239" t="str">
        <f ca="1">IF(H19="元",NUMBERSTRING(INT(N57),2)&amp;"元整",NUMBERSTRING(INT(N57*10000),2)&amp;"元整")</f>
        <v>捌佰零肆万元整</v>
      </c>
      <c r="O58" s="1240"/>
      <c r="P58" s="1225"/>
    </row>
    <row r="59" spans="1:16" ht="26.25" thickBot="1">
      <c r="A59" s="3331" t="s">
        <v>323</v>
      </c>
      <c r="B59" s="3332"/>
      <c r="C59" s="3332"/>
      <c r="D59" s="321">
        <f ca="1">IF(H59="非个人房产","——",IF(H59="个人住宅",0,ROUND(D45*I59,0)))</f>
        <v>13</v>
      </c>
      <c r="E59" s="322" t="str">
        <f>IF(H59="非个人房产","——","销售额×税（费）率")</f>
        <v>销售额×税（费）率</v>
      </c>
      <c r="F59" s="323">
        <f>IF(H59="非个人房产","——",IF(H59="个人住宅","免征",I59))</f>
        <v>0.01</v>
      </c>
      <c r="G59" s="1074" t="s">
        <v>175</v>
      </c>
      <c r="H59" s="1218" t="s">
        <v>2860</v>
      </c>
      <c r="I59" s="324">
        <v>0.01</v>
      </c>
      <c r="J59" s="3278">
        <f>J57+1</f>
        <v>6</v>
      </c>
      <c r="K59" s="3221" t="s">
        <v>179</v>
      </c>
      <c r="L59" s="3029" t="s">
        <v>225</v>
      </c>
      <c r="M59" s="1241"/>
      <c r="N59" s="1242" t="e">
        <f ca="1">M49-N57</f>
        <v>#VALUE!</v>
      </c>
      <c r="O59" s="1243"/>
      <c r="P59" s="1225"/>
    </row>
    <row r="60" spans="1:16" ht="12" customHeight="1">
      <c r="A60" s="1714"/>
      <c r="B60" s="1058"/>
      <c r="C60" s="1058"/>
      <c r="D60" s="1058"/>
      <c r="E60" s="167"/>
      <c r="F60" s="167"/>
      <c r="G60" s="167"/>
      <c r="H60" s="168"/>
      <c r="I60" s="1058"/>
      <c r="J60" s="3279"/>
      <c r="K60" s="3221"/>
      <c r="L60" s="1234" t="s">
        <v>226</v>
      </c>
      <c r="M60" s="1238"/>
      <c r="N60" s="1239" t="e">
        <f ca="1">IF(H19="元",NUMBERSTRING(INT(N59),2)&amp;"元整",NUMBERSTRING(INT(N59*10000),2)&amp;"元整")</f>
        <v>#VALUE!</v>
      </c>
      <c r="O60" s="1240"/>
      <c r="P60" s="1225"/>
    </row>
    <row r="61" spans="1:16" ht="13.5" thickBot="1">
      <c r="A61" s="3333" t="s">
        <v>324</v>
      </c>
      <c r="B61" s="3333"/>
      <c r="C61" s="3333"/>
      <c r="D61" s="3333"/>
      <c r="E61" s="3333"/>
      <c r="F61" s="167"/>
      <c r="G61" s="167"/>
      <c r="H61" s="168"/>
      <c r="I61" s="1058"/>
      <c r="J61" s="3030">
        <f>J59+1</f>
        <v>7</v>
      </c>
      <c r="K61" s="3221" t="s">
        <v>227</v>
      </c>
      <c r="L61" s="3221"/>
      <c r="M61" s="1244"/>
      <c r="N61" s="1245" t="e">
        <f ca="1">IF(H19="元",ROUND(N59/项目基本情况!C12,0),ROUND(N59*10000/项目基本情况!C12,0))</f>
        <v>#VALUE!</v>
      </c>
      <c r="O61" s="1246"/>
      <c r="P61" s="1225"/>
    </row>
    <row r="62" spans="1:16" ht="12.75">
      <c r="A62" s="3262" t="s">
        <v>325</v>
      </c>
      <c r="B62" s="3263"/>
      <c r="C62" s="1806"/>
      <c r="D62" s="1806" t="s">
        <v>333</v>
      </c>
      <c r="E62" s="325" t="s">
        <v>334</v>
      </c>
      <c r="F62" s="167"/>
      <c r="G62" s="167"/>
      <c r="H62" s="168"/>
      <c r="I62" s="1058"/>
      <c r="J62" s="1225"/>
      <c r="K62" s="1225"/>
      <c r="L62" s="1225"/>
      <c r="M62" s="1225"/>
      <c r="N62" s="1225"/>
      <c r="O62" s="1225"/>
      <c r="P62" s="1225"/>
    </row>
    <row r="63" spans="1:16" ht="12.75">
      <c r="A63" s="326">
        <v>1</v>
      </c>
      <c r="B63" s="327" t="s">
        <v>326</v>
      </c>
      <c r="C63" s="328">
        <f ca="1">ROUND((C64+C65)/(1+'数据-取费表'!F30),0)</f>
        <v>1215</v>
      </c>
      <c r="D63" s="329"/>
      <c r="E63" s="330"/>
      <c r="F63" s="167"/>
      <c r="G63" s="167"/>
      <c r="H63" s="168"/>
      <c r="I63" s="1058"/>
      <c r="J63" s="3242" t="s">
        <v>2851</v>
      </c>
      <c r="K63" s="3035" t="s">
        <v>2852</v>
      </c>
      <c r="L63" s="3036" t="e">
        <f>IF(M49&gt;10000,M49*0.5%,IF(AND(M49&gt;1000,M49&lt;=10000),M49*1%,IF(AND(M49&gt;100,M49&lt;=1000),M49*3%,IF(AND(M49&gt;10,M49&lt;=100),M49*5%,M49*8%))))</f>
        <v>#VALUE!</v>
      </c>
      <c r="M63" s="197" t="e">
        <f>ROUND(L63,1)</f>
        <v>#VALUE!</v>
      </c>
      <c r="N63" s="1225"/>
      <c r="O63" s="1225"/>
      <c r="P63" s="1225"/>
    </row>
    <row r="64" spans="1:16" ht="12.75">
      <c r="A64" s="331" t="s">
        <v>228</v>
      </c>
      <c r="B64" s="332" t="s">
        <v>327</v>
      </c>
      <c r="C64" s="333">
        <f ca="1">D45</f>
        <v>1276</v>
      </c>
      <c r="D64" s="334" t="s">
        <v>169</v>
      </c>
      <c r="E64" s="335"/>
      <c r="F64" s="167"/>
      <c r="G64" s="167"/>
      <c r="H64" s="168"/>
      <c r="I64" s="1058"/>
      <c r="J64" s="3242"/>
      <c r="K64" s="3035" t="s">
        <v>2853</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2854</v>
      </c>
      <c r="O64" s="1225"/>
      <c r="P64" s="1225"/>
    </row>
    <row r="65" spans="1:35" ht="12.75">
      <c r="A65" s="331" t="s">
        <v>229</v>
      </c>
      <c r="B65" s="332" t="s">
        <v>328</v>
      </c>
      <c r="C65" s="336"/>
      <c r="D65" s="334"/>
      <c r="E65" s="335"/>
      <c r="F65" s="167"/>
      <c r="G65" s="167"/>
      <c r="H65" s="168"/>
      <c r="I65" s="1058"/>
      <c r="J65" s="3242"/>
      <c r="K65" s="3035" t="s">
        <v>2855</v>
      </c>
      <c r="L65" s="3036" t="e">
        <f>IF(M49&gt;1000,M49*0.1%,IF(AND(M49&gt;500,M49&lt;=1000),M49*0.5%,IF(AND(M49&gt;50,M49&lt;=500),M49*1%,IF(AND(M49&gt;1,M49&lt;=50),M49*1.5%))))</f>
        <v>#VALUE!</v>
      </c>
      <c r="M65" s="197" t="e">
        <f t="shared" si="2"/>
        <v>#VALUE!</v>
      </c>
      <c r="N65" s="3037" t="s">
        <v>2854</v>
      </c>
      <c r="O65" s="1225"/>
      <c r="P65" s="1225"/>
    </row>
    <row r="66" spans="1:35" ht="12.75">
      <c r="A66" s="337" t="s">
        <v>177</v>
      </c>
      <c r="B66" s="338" t="s">
        <v>329</v>
      </c>
      <c r="C66" s="339"/>
      <c r="D66" s="340" t="s">
        <v>169</v>
      </c>
      <c r="E66" s="3063" t="s">
        <v>2895</v>
      </c>
      <c r="F66" s="167"/>
      <c r="G66" s="167"/>
      <c r="H66" s="168"/>
      <c r="I66" s="1058"/>
      <c r="J66" s="3242"/>
      <c r="K66" s="3035" t="s">
        <v>2856</v>
      </c>
      <c r="L66" s="3036" t="e">
        <f>M49*0.5%</f>
        <v>#VALUE!</v>
      </c>
      <c r="M66" s="197" t="e">
        <f>IF(L66&gt;0.5,0.5,ROUND(L66,0))</f>
        <v>#VALUE!</v>
      </c>
      <c r="N66" s="3037" t="s">
        <v>2857</v>
      </c>
      <c r="O66" s="1225"/>
      <c r="P66" s="1225"/>
    </row>
    <row r="67" spans="1:35" ht="12.75">
      <c r="A67" s="337" t="s">
        <v>170</v>
      </c>
      <c r="B67" s="338" t="s">
        <v>330</v>
      </c>
      <c r="C67" s="341">
        <f ca="1">C63-C66</f>
        <v>1215</v>
      </c>
      <c r="D67" s="334" t="s">
        <v>169</v>
      </c>
      <c r="E67" s="335"/>
      <c r="F67" s="167"/>
      <c r="G67" s="167"/>
      <c r="H67" s="168"/>
      <c r="I67" s="1058"/>
      <c r="J67" s="3242"/>
      <c r="K67" s="3035" t="s">
        <v>2858</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5"/>
      <c r="O67" s="1225"/>
      <c r="P67" s="1225"/>
    </row>
    <row r="68" spans="1:35" ht="13.5" thickBot="1">
      <c r="A68" s="342" t="s">
        <v>176</v>
      </c>
      <c r="B68" s="343" t="s">
        <v>331</v>
      </c>
      <c r="C68" s="344">
        <f ca="1">IF(C67&lt;=0,0,ROUND(C67*D68,0))</f>
        <v>68</v>
      </c>
      <c r="D68" s="345">
        <f>'数据-取费表'!E29</f>
        <v>5.6000000000000001E-2</v>
      </c>
      <c r="E68" s="346"/>
      <c r="F68" s="167"/>
      <c r="G68" s="167"/>
      <c r="H68" s="168"/>
      <c r="I68" s="1058"/>
      <c r="J68" s="3242"/>
      <c r="K68" s="3035" t="s">
        <v>2859</v>
      </c>
      <c r="L68" s="3036" t="e">
        <f>IF(M49&gt;10000,M49*0.5%,IF(AND(M49&gt;5000,M49&lt;=10000),M49*1%,IF(AND(M49&gt;1000,M49&lt;=5000),M49*2%,IF(AND(M49&gt;200,M49&lt;=1000),M49*3%,M49*5%))))</f>
        <v>#VALUE!</v>
      </c>
      <c r="M68" s="197" t="e">
        <f>ROUND(L68,1)</f>
        <v>#VALUE!</v>
      </c>
      <c r="N68" s="1225"/>
      <c r="O68" s="1225"/>
      <c r="P68" s="1225"/>
    </row>
    <row r="69" spans="1:35" s="1060" customFormat="1" ht="7.5" customHeight="1">
      <c r="A69" s="1075"/>
      <c r="B69" s="1076"/>
      <c r="C69" s="1077"/>
      <c r="D69" s="1078"/>
      <c r="E69" s="1755"/>
      <c r="F69" s="167"/>
      <c r="G69" s="167"/>
      <c r="H69" s="168"/>
      <c r="I69" s="1058"/>
      <c r="J69" s="3242"/>
      <c r="K69" s="3035" t="s">
        <v>194</v>
      </c>
      <c r="L69" s="3038"/>
      <c r="M69" s="197" t="e">
        <f>ROUND(SUM(M63:M68),0)</f>
        <v>#VALUE!</v>
      </c>
      <c r="N69" s="3031" t="e">
        <f>M69/M49</f>
        <v>#VALUE!</v>
      </c>
      <c r="O69" s="1225"/>
      <c r="P69" s="1225"/>
      <c r="Q69" s="1258"/>
      <c r="R69" s="1258"/>
      <c r="S69" s="1258"/>
      <c r="T69" s="1258"/>
      <c r="U69" s="1258"/>
      <c r="V69" s="1258"/>
      <c r="W69" s="1258"/>
      <c r="X69" s="1258"/>
      <c r="Y69" s="1258"/>
      <c r="Z69" s="1258"/>
      <c r="AA69" s="1225"/>
      <c r="AB69" s="1225"/>
      <c r="AC69" s="1225"/>
      <c r="AD69" s="1225"/>
      <c r="AE69" s="1225"/>
      <c r="AF69" s="1225"/>
      <c r="AG69" s="1225"/>
      <c r="AH69" s="1225"/>
      <c r="AI69" s="1225"/>
    </row>
    <row r="70" spans="1:35" s="1080" customFormat="1" ht="14.25" thickBot="1">
      <c r="A70" s="3264" t="s">
        <v>332</v>
      </c>
      <c r="B70" s="3265"/>
      <c r="C70" s="3265"/>
      <c r="D70" s="3265"/>
      <c r="E70" s="3265"/>
      <c r="F70" s="3265"/>
      <c r="G70" s="3265"/>
      <c r="H70" s="3265"/>
      <c r="I70" s="1079"/>
      <c r="O70" s="2124"/>
      <c r="P70" s="2124"/>
      <c r="Q70" s="2124"/>
      <c r="R70" s="2124"/>
      <c r="S70" s="2124"/>
      <c r="T70" s="2124"/>
      <c r="U70" s="2124"/>
      <c r="V70" s="2124"/>
      <c r="W70" s="2124"/>
      <c r="X70" s="2124"/>
      <c r="Y70" s="2124"/>
      <c r="Z70" s="2124"/>
      <c r="AA70" s="1247"/>
      <c r="AB70" s="1247"/>
      <c r="AC70" s="1247"/>
      <c r="AD70" s="1247"/>
      <c r="AE70" s="1247"/>
      <c r="AF70" s="1247"/>
      <c r="AG70" s="1247"/>
      <c r="AH70" s="1247"/>
      <c r="AI70" s="1247"/>
    </row>
    <row r="71" spans="1:35" s="1080" customFormat="1" ht="14.25">
      <c r="A71" s="3262" t="s">
        <v>325</v>
      </c>
      <c r="B71" s="3263"/>
      <c r="C71" s="1806"/>
      <c r="D71" s="1806" t="s">
        <v>333</v>
      </c>
      <c r="E71" s="347" t="s">
        <v>334</v>
      </c>
      <c r="F71" s="348"/>
      <c r="G71" s="348"/>
      <c r="H71" s="349"/>
      <c r="I71" s="1081"/>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50">
        <v>1</v>
      </c>
      <c r="B72" s="338" t="s">
        <v>335</v>
      </c>
      <c r="C72" s="341">
        <f ca="1">ROUND(D45/(1+'数据-取费表'!F30),0)</f>
        <v>1215</v>
      </c>
      <c r="D72" s="334" t="s">
        <v>169</v>
      </c>
      <c r="E72" s="2432" t="s">
        <v>2426</v>
      </c>
      <c r="F72" s="1802"/>
      <c r="G72" s="1802"/>
      <c r="H72" s="351"/>
      <c r="I72" s="1081"/>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2">
        <v>2</v>
      </c>
      <c r="B73" s="306" t="s">
        <v>336</v>
      </c>
      <c r="C73" s="341">
        <f ca="1">C74+C78</f>
        <v>7</v>
      </c>
      <c r="D73" s="334" t="s">
        <v>169</v>
      </c>
      <c r="E73" s="1803"/>
      <c r="F73" s="1802"/>
      <c r="G73" s="1802"/>
      <c r="H73" s="351"/>
      <c r="I73" s="1081"/>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24">
      <c r="A74" s="353" t="s">
        <v>230</v>
      </c>
      <c r="B74" s="332" t="s">
        <v>337</v>
      </c>
      <c r="C74" s="334">
        <f>ROUND(IF(G77="2016年5月1日后购买",C75/(1+'数据-取费表'!F30)+C76+C77,C75+C76+C77),0)</f>
        <v>0</v>
      </c>
      <c r="D74" s="334" t="s">
        <v>169</v>
      </c>
      <c r="E74" s="1803"/>
      <c r="F74" s="1802"/>
      <c r="G74" s="1802"/>
      <c r="H74" s="351"/>
      <c r="I74" s="1081"/>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3.5">
      <c r="A75" s="353" t="s">
        <v>231</v>
      </c>
      <c r="B75" s="332" t="s">
        <v>338</v>
      </c>
      <c r="C75" s="354"/>
      <c r="D75" s="334" t="s">
        <v>169</v>
      </c>
      <c r="E75" s="355" t="s">
        <v>339</v>
      </c>
      <c r="F75" s="1214" t="s">
        <v>1049</v>
      </c>
      <c r="G75" s="355" t="s">
        <v>709</v>
      </c>
      <c r="H75" s="356"/>
      <c r="I75" s="1023"/>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24.75" customHeight="1">
      <c r="A76" s="353" t="s">
        <v>232</v>
      </c>
      <c r="B76" s="357" t="s">
        <v>340</v>
      </c>
      <c r="C76" s="334">
        <f>IF(F75="购房发票",ROUND(C75*H75*D76,0),0)</f>
        <v>0</v>
      </c>
      <c r="D76" s="358">
        <v>0.05</v>
      </c>
      <c r="E76" s="3301" t="s">
        <v>341</v>
      </c>
      <c r="F76" s="3302"/>
      <c r="G76" s="3302"/>
      <c r="H76" s="3303"/>
      <c r="I76" s="1081"/>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233</v>
      </c>
      <c r="B77" s="332" t="s">
        <v>342</v>
      </c>
      <c r="C77" s="334">
        <f>ROUND(IF(G77="个人住宅",0,IF(G77="2016年5月1日前购买",C75*D77,C75*D77/(1+'数据-取费表'!F30))),0)</f>
        <v>0</v>
      </c>
      <c r="D77" s="359">
        <f>'数据-取费表'!E36+'数据-取费表'!E37</f>
        <v>3.0499999999999999E-2</v>
      </c>
      <c r="E77" s="195" t="s">
        <v>710</v>
      </c>
      <c r="F77" s="360"/>
      <c r="G77" s="1215" t="s">
        <v>2424</v>
      </c>
      <c r="H77" s="1807" t="str">
        <f>IF(G77="个人买卖住房","免征印花税"," ")</f>
        <v xml:space="preserve"> </v>
      </c>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234</v>
      </c>
      <c r="B78" s="332" t="s">
        <v>343</v>
      </c>
      <c r="C78" s="361">
        <f ca="1">ROUND(D45*D78/(1+'数据-取费表'!F30),0)</f>
        <v>7</v>
      </c>
      <c r="D78" s="362">
        <f>'数据-取费表'!E31</f>
        <v>6.000000000000001E-3</v>
      </c>
      <c r="E78" s="3252" t="s">
        <v>2425</v>
      </c>
      <c r="F78" s="3229"/>
      <c r="G78" s="3229"/>
      <c r="H78" s="3251"/>
      <c r="I78" s="1082"/>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14.25">
      <c r="A79" s="363" t="s">
        <v>170</v>
      </c>
      <c r="B79" s="338" t="s">
        <v>344</v>
      </c>
      <c r="C79" s="341">
        <f ca="1">C72-C73</f>
        <v>1208</v>
      </c>
      <c r="D79" s="334" t="s">
        <v>169</v>
      </c>
      <c r="E79" s="1803"/>
      <c r="F79" s="1802"/>
      <c r="G79" s="1802"/>
      <c r="H79" s="351"/>
      <c r="I79" s="1081"/>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24">
      <c r="A80" s="363" t="s">
        <v>171</v>
      </c>
      <c r="B80" s="338" t="s">
        <v>345</v>
      </c>
      <c r="C80" s="364">
        <f ca="1">IF(C79&lt;=0,0,C79/C73)</f>
        <v>172.57142857142858</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24.75" thickBot="1">
      <c r="A81" s="365" t="s">
        <v>172</v>
      </c>
      <c r="B81" s="343" t="s">
        <v>346</v>
      </c>
      <c r="C81" s="366">
        <f ca="1">ROUND(IF(C79&lt;=0,0,IF(C80&gt;=200%,C79*60%-C73*35%,IF(C80&gt;=100%,C79*50%-C73*15%,IF(C80&gt;=50%,C79*40%-C73*5%,IF(C80&lt;50%,C79*30%,0))))),0)</f>
        <v>722</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7.5" customHeight="1">
      <c r="A82" s="1047"/>
      <c r="B82" s="1048"/>
      <c r="C82" s="191"/>
      <c r="D82" s="191"/>
      <c r="E82" s="1048"/>
      <c r="F82" s="1048"/>
      <c r="G82" s="1048"/>
      <c r="H82" s="1049"/>
      <c r="I82" s="1082"/>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14.25" thickBot="1">
      <c r="A83" s="3264" t="s">
        <v>347</v>
      </c>
      <c r="B83" s="3265"/>
      <c r="C83" s="3265"/>
      <c r="D83" s="3265"/>
      <c r="E83" s="3265"/>
      <c r="F83" s="3265"/>
      <c r="G83" s="3265"/>
      <c r="H83" s="3265"/>
      <c r="I83" s="1023"/>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3.5">
      <c r="A84" s="3262" t="s">
        <v>325</v>
      </c>
      <c r="B84" s="3263"/>
      <c r="C84" s="1806"/>
      <c r="D84" s="1806" t="s">
        <v>333</v>
      </c>
      <c r="E84" s="347" t="s">
        <v>334</v>
      </c>
      <c r="F84" s="348"/>
      <c r="G84" s="348"/>
      <c r="H84" s="371"/>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24">
      <c r="A85" s="350">
        <v>1</v>
      </c>
      <c r="B85" s="338" t="s">
        <v>335</v>
      </c>
      <c r="C85" s="341">
        <f ca="1">ROUND(D45/(1+'数据-取费表'!F30),0)</f>
        <v>1215</v>
      </c>
      <c r="D85" s="334" t="s">
        <v>169</v>
      </c>
      <c r="E85" s="2431" t="s">
        <v>2423</v>
      </c>
      <c r="F85" s="1802"/>
      <c r="G85" s="1802"/>
      <c r="H85" s="372"/>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2">
        <v>2</v>
      </c>
      <c r="B86" s="306" t="s">
        <v>336</v>
      </c>
      <c r="C86" s="341">
        <f ca="1">IF(H88="仅含出让金",C87+C90+C91+C92+C93+C94,C87+C91+C92+C93+C94)</f>
        <v>7</v>
      </c>
      <c r="D86" s="373"/>
      <c r="E86" s="1803"/>
      <c r="F86" s="1802"/>
      <c r="G86" s="1802"/>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3" t="s">
        <v>230</v>
      </c>
      <c r="B87" s="332" t="s">
        <v>348</v>
      </c>
      <c r="C87" s="361">
        <f>C88+C89</f>
        <v>0</v>
      </c>
      <c r="D87" s="362"/>
      <c r="E87" s="1799"/>
      <c r="F87" s="1800"/>
      <c r="G87" s="1800"/>
      <c r="H87" s="1801"/>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231</v>
      </c>
      <c r="B88" s="332" t="s">
        <v>349</v>
      </c>
      <c r="C88" s="374"/>
      <c r="D88" s="362"/>
      <c r="E88" s="375" t="s">
        <v>350</v>
      </c>
      <c r="F88" s="1800"/>
      <c r="G88" s="376" t="s">
        <v>351</v>
      </c>
      <c r="H88" s="1216"/>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232</v>
      </c>
      <c r="B89" s="332" t="s">
        <v>342</v>
      </c>
      <c r="C89" s="361">
        <f>ROUND(C88*D89,0)</f>
        <v>0</v>
      </c>
      <c r="D89" s="362">
        <f>'数据-取费表'!E36+'数据-取费表'!E37</f>
        <v>3.0499999999999999E-2</v>
      </c>
      <c r="E89" s="375" t="s">
        <v>352</v>
      </c>
      <c r="F89" s="1800"/>
      <c r="G89" s="1800"/>
      <c r="H89" s="1801"/>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234</v>
      </c>
      <c r="B90" s="332" t="s">
        <v>353</v>
      </c>
      <c r="C90" s="374"/>
      <c r="D90" s="362"/>
      <c r="E90" s="375" t="str">
        <f>IF(H88="-","土地取得成本中已包含该笔费用"," ")</f>
        <v xml:space="preserve"> </v>
      </c>
      <c r="F90" s="1800"/>
      <c r="G90" s="1800"/>
      <c r="H90" s="1801"/>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30.75" customHeight="1">
      <c r="A91" s="353" t="s">
        <v>235</v>
      </c>
      <c r="B91" s="332" t="s">
        <v>354</v>
      </c>
      <c r="C91" s="361">
        <f>IF(H91="——",成本法!C33,I91)</f>
        <v>0</v>
      </c>
      <c r="D91" s="362"/>
      <c r="E91" s="3228" t="s">
        <v>711</v>
      </c>
      <c r="F91" s="3229"/>
      <c r="G91" s="3229"/>
      <c r="H91" s="1217" t="s">
        <v>2205</v>
      </c>
      <c r="I91" s="2014"/>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25.5" customHeight="1">
      <c r="A92" s="353" t="s">
        <v>236</v>
      </c>
      <c r="B92" s="332" t="s">
        <v>355</v>
      </c>
      <c r="C92" s="361">
        <f>ROUND((C87+C90+C91)*D92,0)</f>
        <v>0</v>
      </c>
      <c r="D92" s="362">
        <v>0.1</v>
      </c>
      <c r="E92" s="3228" t="s">
        <v>356</v>
      </c>
      <c r="F92" s="3229"/>
      <c r="G92" s="3229"/>
      <c r="H92" s="3251"/>
      <c r="I92" s="1023"/>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237</v>
      </c>
      <c r="B93" s="332" t="s">
        <v>343</v>
      </c>
      <c r="C93" s="361">
        <f ca="1">ROUND(D45*D93/(1+'数据-取费表'!F30),0)</f>
        <v>7</v>
      </c>
      <c r="D93" s="362">
        <f>'数据-取费表'!E31</f>
        <v>6.000000000000001E-3</v>
      </c>
      <c r="E93" s="3252" t="s">
        <v>2425</v>
      </c>
      <c r="F93" s="3229"/>
      <c r="G93" s="3229"/>
      <c r="H93" s="3251"/>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238</v>
      </c>
      <c r="B94" s="332" t="s">
        <v>357</v>
      </c>
      <c r="C94" s="361">
        <f>ROUND((C87+C90+C91)*D94,0)</f>
        <v>0</v>
      </c>
      <c r="D94" s="362">
        <v>0.2</v>
      </c>
      <c r="E94" s="3228" t="s">
        <v>358</v>
      </c>
      <c r="F94" s="3229"/>
      <c r="G94" s="3229"/>
      <c r="H94" s="3251"/>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13.5">
      <c r="A95" s="363" t="s">
        <v>170</v>
      </c>
      <c r="B95" s="338" t="s">
        <v>344</v>
      </c>
      <c r="C95" s="341">
        <f ca="1">ROUND(C85-C86,0)</f>
        <v>1208</v>
      </c>
      <c r="D95" s="334" t="s">
        <v>169</v>
      </c>
      <c r="E95" s="1803"/>
      <c r="F95" s="1802"/>
      <c r="G95" s="1802"/>
      <c r="H95" s="372"/>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24">
      <c r="A96" s="363" t="s">
        <v>171</v>
      </c>
      <c r="B96" s="338" t="s">
        <v>345</v>
      </c>
      <c r="C96" s="364">
        <f ca="1">IF(C95&lt;=0,0,C95/C86)</f>
        <v>172.57142857142858</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24.75" thickBot="1">
      <c r="A97" s="365" t="s">
        <v>172</v>
      </c>
      <c r="B97" s="343" t="s">
        <v>346</v>
      </c>
      <c r="C97" s="366">
        <f ca="1">ROUND(IF(C95&lt;=0,0,IF(C96&gt;=200%,C95*60%-C86*35%,IF(C96&gt;=100%,C95*50%-C86*15%,IF(C96&gt;=50%,C95*40%-C86*5%,IF(C96&lt;50%,C95*30%,0))))),0)</f>
        <v>722</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ht="21.75" customHeight="1" thickBot="1">
      <c r="A98" s="1066" t="s">
        <v>240</v>
      </c>
      <c r="B98" s="1058"/>
      <c r="C98" s="1058"/>
      <c r="D98" s="1058"/>
      <c r="E98" s="167"/>
      <c r="F98" s="167"/>
      <c r="G98" s="167"/>
      <c r="H98" s="168"/>
      <c r="I98" s="1058"/>
    </row>
    <row r="99" spans="1:35" ht="14.25">
      <c r="A99" s="3248" t="s">
        <v>241</v>
      </c>
      <c r="B99" s="3249"/>
      <c r="C99" s="3249"/>
      <c r="D99" s="3250"/>
      <c r="E99" s="1058"/>
      <c r="F99" s="3259" t="s">
        <v>2766</v>
      </c>
      <c r="G99" s="3260"/>
      <c r="H99" s="3260"/>
      <c r="I99" s="3261"/>
    </row>
    <row r="100" spans="1:35" ht="14.25">
      <c r="A100" s="3266" t="s">
        <v>212</v>
      </c>
      <c r="B100" s="3267"/>
      <c r="C100" s="1083" t="str">
        <f>C4</f>
        <v>比较法-住宅</v>
      </c>
      <c r="D100" s="1084" t="str">
        <f>D4</f>
        <v>收益法</v>
      </c>
      <c r="E100" s="1058"/>
      <c r="F100" s="3268" t="s">
        <v>1863</v>
      </c>
      <c r="G100" s="3270"/>
      <c r="H100" s="3268" t="s">
        <v>2010</v>
      </c>
      <c r="I100" s="3269"/>
    </row>
    <row r="101" spans="1:35" ht="15.75">
      <c r="A101" s="3288" t="s">
        <v>213</v>
      </c>
      <c r="B101" s="1677" t="str">
        <f>IF(H19="元","总价（元）","总价（万元）")</f>
        <v>总价（万元）</v>
      </c>
      <c r="C101" s="1050">
        <f ca="1">C19</f>
        <v>1426</v>
      </c>
      <c r="D101" s="1051">
        <f ca="1">D19</f>
        <v>1125</v>
      </c>
      <c r="E101" s="1058"/>
      <c r="F101" s="3268" t="str">
        <f>项目基本情况!I1</f>
        <v>北京市房地产</v>
      </c>
      <c r="G101" s="3270"/>
      <c r="H101" s="3337">
        <f>项目基本情况!C12</f>
        <v>255.46</v>
      </c>
      <c r="I101" s="3338"/>
    </row>
    <row r="102" spans="1:35" ht="15.75">
      <c r="A102" s="3288"/>
      <c r="B102" s="1677" t="s">
        <v>1864</v>
      </c>
      <c r="C102" s="1052">
        <f ca="1">C20</f>
        <v>55805</v>
      </c>
      <c r="D102" s="1053">
        <f ca="1">D20</f>
        <v>44038</v>
      </c>
      <c r="E102" s="1058"/>
      <c r="F102" s="3354" t="s">
        <v>1869</v>
      </c>
      <c r="G102" s="3355"/>
      <c r="H102" s="1879" t="str">
        <f>C106</f>
        <v>总价（万元）</v>
      </c>
      <c r="I102" s="3069">
        <f ca="1">H121</f>
        <v>1276</v>
      </c>
    </row>
    <row r="103" spans="1:35" ht="15">
      <c r="A103" s="3288" t="s">
        <v>214</v>
      </c>
      <c r="B103" s="1678" t="str">
        <f>B101</f>
        <v>总价（万元）</v>
      </c>
      <c r="C103" s="1054">
        <f ca="1">H121</f>
        <v>1276</v>
      </c>
      <c r="D103" s="1055"/>
      <c r="E103" s="1058"/>
      <c r="F103" s="3354"/>
      <c r="G103" s="3355"/>
      <c r="H103" s="1879" t="s">
        <v>1861</v>
      </c>
      <c r="I103" s="1765">
        <f ca="1">I121</f>
        <v>49949</v>
      </c>
    </row>
    <row r="104" spans="1:35" ht="15.75" thickBot="1">
      <c r="A104" s="3289"/>
      <c r="B104" s="1679" t="s">
        <v>1862</v>
      </c>
      <c r="C104" s="1056">
        <f ca="1">I121</f>
        <v>49949</v>
      </c>
      <c r="D104" s="1057"/>
      <c r="E104" s="1058"/>
      <c r="F104" s="3255"/>
      <c r="G104" s="3256"/>
      <c r="H104" s="3290"/>
      <c r="I104" s="3291"/>
    </row>
    <row r="105" spans="1:35" ht="15.75">
      <c r="A105" s="3248" t="s">
        <v>2765</v>
      </c>
      <c r="B105" s="3249"/>
      <c r="C105" s="3249"/>
      <c r="D105" s="3250"/>
      <c r="E105" s="1058"/>
      <c r="F105" s="3294" t="s">
        <v>1965</v>
      </c>
      <c r="G105" s="3295"/>
      <c r="H105" s="1880" t="str">
        <f>C108</f>
        <v>总额（万元）</v>
      </c>
      <c r="I105" s="3069">
        <f>SUMIF(I106:I108,"&lt;9E307")</f>
        <v>0</v>
      </c>
    </row>
    <row r="106" spans="1:35" ht="15">
      <c r="A106" s="3296" t="s">
        <v>2427</v>
      </c>
      <c r="B106" s="3297"/>
      <c r="C106" s="1879" t="str">
        <f>B101</f>
        <v>总价（万元）</v>
      </c>
      <c r="D106" s="1766">
        <f ca="1">H121</f>
        <v>1276</v>
      </c>
      <c r="E106" s="1058"/>
      <c r="F106" s="3257" t="s">
        <v>1866</v>
      </c>
      <c r="G106" s="3258"/>
      <c r="H106" s="1880" t="str">
        <f>C109</f>
        <v>总额（万元）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6"/>
      <c r="B107" s="3297"/>
      <c r="C107" s="1879" t="s">
        <v>1969</v>
      </c>
      <c r="D107" s="1767">
        <f ca="1">I121</f>
        <v>49949</v>
      </c>
      <c r="E107" s="1058"/>
      <c r="F107" s="3257" t="s">
        <v>1867</v>
      </c>
      <c r="G107" s="3258"/>
      <c r="H107" s="1880" t="str">
        <f>C110</f>
        <v>总额（万元）</v>
      </c>
      <c r="I107" s="1765">
        <f>C37</f>
        <v>0</v>
      </c>
      <c r="K107" s="2125"/>
    </row>
    <row r="108" spans="1:35" ht="15">
      <c r="A108" s="3350" t="s">
        <v>1965</v>
      </c>
      <c r="B108" s="3351"/>
      <c r="C108" s="1880" t="str">
        <f>IF(H19="元","总额（元）","总额（万元）")</f>
        <v>总额（万元）</v>
      </c>
      <c r="D108" s="1766">
        <f>IF(D36="正常操作",I106+I107+I108,I107+I108)</f>
        <v>0</v>
      </c>
      <c r="E108" s="1058"/>
      <c r="F108" s="3257" t="s">
        <v>1868</v>
      </c>
      <c r="G108" s="3258"/>
      <c r="H108" s="1880" t="str">
        <f>C111</f>
        <v>总额（万元）</v>
      </c>
      <c r="I108" s="1765">
        <f>C38</f>
        <v>0</v>
      </c>
    </row>
    <row r="109" spans="1:35" ht="14.25">
      <c r="A109" s="3257" t="s">
        <v>1866</v>
      </c>
      <c r="B109" s="3258"/>
      <c r="C109" s="1880" t="str">
        <f>C108</f>
        <v>总额（万元）</v>
      </c>
      <c r="D109" s="855">
        <f>IF(D36="同一抵押权人同一抵押物续贷",C36&amp;"（未扣减，详见特别提示）",C36)</f>
        <v>0</v>
      </c>
      <c r="E109" s="1058"/>
      <c r="F109" s="3255"/>
      <c r="G109" s="3256"/>
      <c r="H109" s="3292"/>
      <c r="I109" s="3293"/>
    </row>
    <row r="110" spans="1:35" ht="28.5" customHeight="1">
      <c r="A110" s="3257" t="s">
        <v>1867</v>
      </c>
      <c r="B110" s="3258"/>
      <c r="C110" s="1880" t="str">
        <f>C108</f>
        <v>总额（万元）</v>
      </c>
      <c r="D110" s="855">
        <f>C37</f>
        <v>0</v>
      </c>
      <c r="E110" s="1058"/>
      <c r="F110" s="3235" t="str">
        <f>IF(项目基本情况!F5="已注销","——","3.房地产抵押价值")</f>
        <v>3.房地产抵押价值</v>
      </c>
      <c r="G110" s="3236"/>
      <c r="H110" s="3075" t="str">
        <f>C112</f>
        <v>总价（万元）</v>
      </c>
      <c r="I110" s="3076">
        <f ca="1">IF(F110="——","——",I102-I105)</f>
        <v>1276</v>
      </c>
    </row>
    <row r="111" spans="1:35" ht="14.25">
      <c r="A111" s="3257" t="s">
        <v>1868</v>
      </c>
      <c r="B111" s="3258"/>
      <c r="C111" s="1880" t="str">
        <f>C108</f>
        <v>总额（万元）</v>
      </c>
      <c r="D111" s="855">
        <f>C38</f>
        <v>0</v>
      </c>
      <c r="E111" s="1058"/>
      <c r="F111" s="3237"/>
      <c r="G111" s="3238"/>
      <c r="H111" s="1879" t="s">
        <v>1861</v>
      </c>
      <c r="I111" s="3077">
        <f ca="1">D113</f>
        <v>49949</v>
      </c>
    </row>
    <row r="112" spans="1:35" ht="26.25" customHeight="1">
      <c r="A112" s="3296" t="str">
        <f>IF(项目基本情况!F5="已注销","——","3.房地产抵押价值")</f>
        <v>3.房地产抵押价值</v>
      </c>
      <c r="B112" s="3297"/>
      <c r="C112" s="1879" t="str">
        <f>B101</f>
        <v>总价（万元）</v>
      </c>
      <c r="D112" s="1766">
        <f ca="1">IF(A112="——","——",D106-D108)</f>
        <v>1276</v>
      </c>
      <c r="E112" s="1058"/>
      <c r="F112" s="3235" t="str">
        <f>IF(项目基本情况!F5="已注销及未注销","4.抵押担保权已注销时的房地产抵押价值",IF(项目基本情况!F5="已注销","3.抵押担保权已注销时的房地产抵押价值","——"))</f>
        <v>——</v>
      </c>
      <c r="G112" s="3236"/>
      <c r="H112" s="3075" t="str">
        <f>C114</f>
        <v>总价（万元）</v>
      </c>
      <c r="I112" s="3076" t="str">
        <f>IF(F112="——","——",I102-I107-I108)</f>
        <v>——</v>
      </c>
    </row>
    <row r="113" spans="1:15" ht="14.25">
      <c r="A113" s="3296"/>
      <c r="B113" s="3297"/>
      <c r="C113" s="1879" t="s">
        <v>1861</v>
      </c>
      <c r="D113" s="1767">
        <f ca="1">ROUND(IF(D112=D106,D107,IF(H19="元",D112/项目基本情况!C12,D112*10000/项目基本情况!C12)),0)</f>
        <v>49949</v>
      </c>
      <c r="E113" s="1058"/>
      <c r="F113" s="3237"/>
      <c r="G113" s="3238"/>
      <c r="H113" s="1879" t="s">
        <v>1861</v>
      </c>
      <c r="I113" s="3078" t="str">
        <f>D115</f>
        <v>——</v>
      </c>
    </row>
    <row r="114" spans="1:15" ht="15.75">
      <c r="A114" s="3296" t="str">
        <f>IF(项目基本情况!F5="已注销及未注销","4.抵押担保权已注销时的房地产抵押价值",IF(项目基本情况!F5="已注销","3.抵押担保权已注销时的房地产抵押价值","——"))</f>
        <v>——</v>
      </c>
      <c r="B114" s="3297"/>
      <c r="C114" s="1879" t="str">
        <f>B101</f>
        <v>总价（万元）</v>
      </c>
      <c r="D114" s="1766" t="str">
        <f>IF(A114="——","——",D106-D110-D111)</f>
        <v>——</v>
      </c>
      <c r="E114" s="1058"/>
      <c r="F114" s="3235" t="str">
        <f>IF(项目基本情况!G5="抵押净值",IF(OR(项目基本情况!F5="已注销",项目基本情况!F5="房地产抵押价值"),"4.抵押净值","5.抵押净值"),"——")</f>
        <v>——</v>
      </c>
      <c r="G114" s="3236"/>
      <c r="H114" s="1879" t="str">
        <f>C116</f>
        <v>总价（万元）</v>
      </c>
      <c r="I114" s="3069" t="str">
        <f>IF(F114="——","——",N59)</f>
        <v>——</v>
      </c>
    </row>
    <row r="115" spans="1:15" ht="15.75" thickBot="1">
      <c r="A115" s="3296"/>
      <c r="B115" s="3297"/>
      <c r="C115" s="1879" t="s">
        <v>1861</v>
      </c>
      <c r="D115" s="1767" t="str">
        <f>IF(A114="——","——",ROUND(IF(D114=D106,D107,IF(H19="元",D114/项目基本情况!C12,D114*10000/项目基本情况!C12)),0))</f>
        <v>——</v>
      </c>
      <c r="E115" s="1058"/>
      <c r="F115" s="3339"/>
      <c r="G115" s="3340"/>
      <c r="H115" s="1881" t="s">
        <v>1861</v>
      </c>
      <c r="I115" s="3079" t="str">
        <f ca="1">D117</f>
        <v>——</v>
      </c>
    </row>
    <row r="116" spans="1:15" ht="15">
      <c r="A116" s="3296" t="str">
        <f>IF(项目基本情况!G5="抵押净值",IF(OR(项目基本情况!F5="已注销",项目基本情况!F5="房地产抵押价值"),"4.抵押净值","5.抵押净值"),"——")</f>
        <v>——</v>
      </c>
      <c r="B116" s="3297"/>
      <c r="C116" s="1879" t="str">
        <f>B101</f>
        <v>总价（万元）</v>
      </c>
      <c r="D116" s="1766" t="str">
        <f>IF(A116="——","——",N59)</f>
        <v>——</v>
      </c>
      <c r="E116" s="1058"/>
      <c r="F116" s="3230"/>
      <c r="G116" s="3230"/>
      <c r="H116" s="3275"/>
      <c r="I116" s="3275"/>
      <c r="N116" s="1890"/>
      <c r="O116" s="1890"/>
    </row>
    <row r="117" spans="1:15" ht="15" thickBot="1">
      <c r="A117" s="3348"/>
      <c r="B117" s="3349"/>
      <c r="C117" s="1881" t="s">
        <v>1861</v>
      </c>
      <c r="D117" s="1768" t="str">
        <f ca="1">IF(D116=D112,D113,IF(A116="——","——",N61))</f>
        <v>——</v>
      </c>
      <c r="E117" s="1058"/>
      <c r="F117" s="3335" t="str">
        <f>IF(B32="总价","（以上估价结果中单价为总价除以建筑面积得出）","（以上估价结果中总价为楼面单价乘以建筑面积得出）")</f>
        <v>（以上估价结果中单价为总价除以建筑面积得出）</v>
      </c>
      <c r="G117" s="3335"/>
      <c r="H117" s="3335"/>
      <c r="I117" s="3335"/>
      <c r="N117" s="1890"/>
      <c r="O117" s="1890"/>
    </row>
    <row r="118" spans="1:15" ht="13.5">
      <c r="A118" s="3276" t="s">
        <v>2896</v>
      </c>
      <c r="B118" s="3277"/>
      <c r="C118" s="3277"/>
      <c r="D118" s="3277"/>
      <c r="E118" s="3277"/>
      <c r="F118" s="3277"/>
      <c r="G118" s="3277"/>
      <c r="H118" s="3277"/>
      <c r="I118" s="3277"/>
    </row>
    <row r="119" spans="1:15" ht="13.5">
      <c r="A119" s="3247" t="s">
        <v>3</v>
      </c>
      <c r="B119" s="3245" t="s">
        <v>1890</v>
      </c>
      <c r="C119" s="3245" t="s">
        <v>701</v>
      </c>
      <c r="D119" s="3253" t="s">
        <v>211</v>
      </c>
      <c r="E119" s="3254"/>
      <c r="F119" s="3243" t="s">
        <v>1891</v>
      </c>
      <c r="G119" s="3243"/>
      <c r="H119" s="3243" t="s">
        <v>4</v>
      </c>
      <c r="I119" s="3244"/>
    </row>
    <row r="120" spans="1:15" ht="13.5">
      <c r="A120" s="3247"/>
      <c r="B120" s="3246"/>
      <c r="C120" s="3246"/>
      <c r="D120" s="1798" t="s">
        <v>5</v>
      </c>
      <c r="E120" s="1798" t="s">
        <v>702</v>
      </c>
      <c r="F120" s="1798" t="s">
        <v>5</v>
      </c>
      <c r="G120" s="1798" t="s">
        <v>6</v>
      </c>
      <c r="H120" s="1798" t="s">
        <v>5</v>
      </c>
      <c r="I120" s="1809" t="s">
        <v>6</v>
      </c>
    </row>
    <row r="121" spans="1:15" ht="14.25">
      <c r="A121" s="1797" t="str">
        <f>项目基本情况!I1</f>
        <v>北京市房地产</v>
      </c>
      <c r="B121" s="1804">
        <f>项目基本情况!C12</f>
        <v>255.46</v>
      </c>
      <c r="C121" s="1804">
        <f>项目基本情况!C13</f>
        <v>0</v>
      </c>
      <c r="D121" s="1804">
        <f ca="1">ROUND(IF(B32="总价",C34,IF('数据-取费表'!B3="万元",E121*B121/10000,E121*B121)),0)</f>
        <v>1166</v>
      </c>
      <c r="E121" s="1804">
        <f ca="1">ROUND(IF(B32="楼面单价",C34,IF(H19="元",D121/B121,D121*10000/B121)),0)</f>
        <v>45643</v>
      </c>
      <c r="F121" s="1804">
        <f ca="1">ROUND(IF(B32="总价",C35,IF('数据-取费表'!B3="万元",G121*B121/10000,G121*B121)),0)</f>
        <v>110</v>
      </c>
      <c r="G121" s="1804">
        <f ca="1">ROUND(IF(B32="楼面单价",C35,IF(H19="元",F121/B121,F121*10000/B121)),0)</f>
        <v>4306</v>
      </c>
      <c r="H121" s="1804">
        <f ca="1">ROUND(IF(B32="总价",C32,IF('数据-取费表'!B3="万元",I121*B121/10000,I121*B121)),0)</f>
        <v>1276</v>
      </c>
      <c r="I121" s="855">
        <f ca="1">ROUND(IF(B32="楼面单价",C32,IF(H19="元",H121/B121,H121*10000/B121)),0)</f>
        <v>49949</v>
      </c>
    </row>
    <row r="122" spans="1:15" ht="13.5">
      <c r="A122" s="3247" t="s">
        <v>7</v>
      </c>
      <c r="B122" s="3243"/>
      <c r="C122" s="3243"/>
      <c r="D122" s="3280" t="str">
        <f ca="1">IF(H19="元",NUMBERSTRING(INT(D121),2)&amp;"元整",NUMBERSTRING(INT(D121*10000),2)&amp;"元整")</f>
        <v>壹仟壹佰陆拾陆万元整</v>
      </c>
      <c r="E122" s="3281"/>
      <c r="F122" s="3280" t="str">
        <f ca="1">IF(H19="元",NUMBERSTRING(INT(F121),2)&amp;"元整",NUMBERSTRING(INT(F121*10000),2)&amp;"元整")</f>
        <v>壹佰壹拾万元整</v>
      </c>
      <c r="G122" s="3281"/>
      <c r="H122" s="3280" t="str">
        <f ca="1">IF(H19="元",NUMBERSTRING(INT(H121),2)&amp;"元整",NUMBERSTRING(INT(H121*10000),2)&amp;"元整")</f>
        <v>壹仟贰佰柒拾陆万元整</v>
      </c>
      <c r="I122" s="3356"/>
    </row>
    <row r="123" spans="1:15" ht="15">
      <c r="A123" s="3282" t="str">
        <f>IF(项目基本情况!D5="房地产市场价值","——",MID(A108,3,LEN(A108)-2))</f>
        <v>估价师所知悉的法定优先受偿款</v>
      </c>
      <c r="B123" s="3283"/>
      <c r="C123" s="3284"/>
      <c r="D123" s="3341">
        <f>I105</f>
        <v>0</v>
      </c>
      <c r="E123" s="3342"/>
      <c r="F123" s="3342"/>
      <c r="G123" s="3342"/>
      <c r="H123" s="3342"/>
      <c r="I123" s="3343"/>
    </row>
    <row r="124" spans="1:15" ht="13.5">
      <c r="A124" s="3285" t="s">
        <v>7</v>
      </c>
      <c r="B124" s="3286"/>
      <c r="C124" s="3287"/>
      <c r="D124" s="3344">
        <f>H109</f>
        <v>0</v>
      </c>
      <c r="E124" s="3345"/>
      <c r="F124" s="3345"/>
      <c r="G124" s="3345"/>
      <c r="H124" s="3345"/>
      <c r="I124" s="3346"/>
    </row>
    <row r="125" spans="1:15" ht="15">
      <c r="A125" s="3271" t="str">
        <f>IF(项目基本情况!D5="房地产市场价值","——",MID(A112,3,LEN(A112)-2))</f>
        <v>房地产抵押价值</v>
      </c>
      <c r="B125" s="3272"/>
      <c r="C125" s="3272"/>
      <c r="D125" s="3341">
        <f ca="1">I110</f>
        <v>1276</v>
      </c>
      <c r="E125" s="3342"/>
      <c r="F125" s="3342"/>
      <c r="G125" s="3342"/>
      <c r="H125" s="3342"/>
      <c r="I125" s="3343"/>
    </row>
    <row r="126" spans="1:15" ht="13.5">
      <c r="A126" s="3247" t="s">
        <v>7</v>
      </c>
      <c r="B126" s="3243"/>
      <c r="C126" s="3243"/>
      <c r="D126" s="3344">
        <f ca="1">I111</f>
        <v>49949</v>
      </c>
      <c r="E126" s="3345"/>
      <c r="F126" s="3345"/>
      <c r="G126" s="3345"/>
      <c r="H126" s="3345"/>
      <c r="I126" s="3346"/>
    </row>
    <row r="127" spans="1:15" ht="15.75" thickBot="1">
      <c r="A127" s="3271" t="str">
        <f>IF(项目基本情况!D5="房地产市场价值","——",MID(A114,3,LEN(A114)-2))</f>
        <v/>
      </c>
      <c r="B127" s="3272"/>
      <c r="C127" s="3272"/>
      <c r="D127" s="3225" t="str">
        <f>I112</f>
        <v>——</v>
      </c>
      <c r="E127" s="3226"/>
      <c r="F127" s="3226"/>
      <c r="G127" s="3226"/>
      <c r="H127" s="3226"/>
      <c r="I127" s="3227"/>
    </row>
    <row r="128" spans="1:15" ht="15" thickTop="1" thickBot="1">
      <c r="A128" s="3247" t="s">
        <v>7</v>
      </c>
      <c r="B128" s="3243"/>
      <c r="C128" s="3336"/>
      <c r="D128" s="3274" t="str">
        <f>I113</f>
        <v>——</v>
      </c>
      <c r="E128" s="3274"/>
      <c r="F128" s="3274"/>
      <c r="G128" s="3274"/>
      <c r="H128" s="3274"/>
      <c r="I128" s="3274"/>
    </row>
    <row r="129" spans="1:9" ht="16.5" thickTop="1" thickBot="1">
      <c r="A129" s="3271" t="str">
        <f>IF(项目基本情况!D5="房地产市场价值","——",MID(F114,3,LEN(F114)-2))</f>
        <v/>
      </c>
      <c r="B129" s="3272"/>
      <c r="C129" s="3273"/>
      <c r="D129" s="3347" t="str">
        <f>I114</f>
        <v>——</v>
      </c>
      <c r="E129" s="3347"/>
      <c r="F129" s="3347"/>
      <c r="G129" s="3347"/>
      <c r="H129" s="3347"/>
      <c r="I129" s="3347"/>
    </row>
    <row r="130" spans="1:9" ht="15" thickTop="1" thickBot="1">
      <c r="A130" s="3352" t="s">
        <v>7</v>
      </c>
      <c r="B130" s="3353"/>
      <c r="C130" s="3353"/>
      <c r="D130" s="3357">
        <f>H116</f>
        <v>0</v>
      </c>
      <c r="E130" s="3358"/>
      <c r="F130" s="3358"/>
      <c r="G130" s="3358"/>
      <c r="H130" s="3358"/>
      <c r="I130" s="3359"/>
    </row>
    <row r="131" spans="1:9" ht="12">
      <c r="A131" s="1755" t="str">
        <f>IF(H19="元","单位：平方米、元、元/平方米（币种：人民币）","单位：平方米、万元、元/平方米（币种：人民币）")</f>
        <v>单位：平方米、万元、元/平方米（币种：人民币）</v>
      </c>
      <c r="B131" s="1755"/>
      <c r="C131" s="1755"/>
      <c r="D131" s="1755"/>
      <c r="E131" s="1755"/>
      <c r="F131" s="1755"/>
      <c r="G131" s="1755"/>
      <c r="H131" s="1755"/>
      <c r="I131" s="1755"/>
    </row>
    <row r="132" spans="1:9" ht="12.75" thickBot="1">
      <c r="A132" s="3334" t="str">
        <f>IF(B32="总价","（以上估价结果中楼面单价为总价除以建筑面积得出）","（以上估价结果中总价为楼面单价乘以建筑面积得出）")</f>
        <v>（以上估价结果中楼面单价为总价除以建筑面积得出）</v>
      </c>
      <c r="B132" s="3334"/>
      <c r="C132" s="3334"/>
      <c r="D132" s="3334"/>
      <c r="E132" s="3334"/>
      <c r="F132" s="3334"/>
      <c r="G132" s="3334"/>
      <c r="H132" s="3334"/>
      <c r="I132" s="3334"/>
    </row>
    <row r="133" spans="1:9" ht="21.75" customHeight="1">
      <c r="A133" s="1891" t="s">
        <v>703</v>
      </c>
      <c r="B133" s="1892"/>
      <c r="C133" s="1893" t="s">
        <v>151</v>
      </c>
      <c r="D133" s="1250"/>
      <c r="E133" s="1250"/>
      <c r="F133" s="1250"/>
      <c r="G133" s="1250"/>
      <c r="H133" s="1251"/>
      <c r="I133" s="1252"/>
    </row>
    <row r="134" spans="1:9" ht="21.75" customHeight="1">
      <c r="A134" s="1248">
        <v>1</v>
      </c>
      <c r="B134" s="1249"/>
      <c r="C134" s="1249"/>
      <c r="D134" s="1250"/>
      <c r="E134" s="1250"/>
      <c r="F134" s="1250"/>
      <c r="G134" s="1250"/>
      <c r="H134" s="1251"/>
      <c r="I134" s="1252"/>
    </row>
    <row r="135" spans="1:9" ht="21.75" customHeight="1">
      <c r="A135" s="1248">
        <v>2</v>
      </c>
      <c r="B135" s="1249"/>
      <c r="C135" s="1249"/>
      <c r="D135" s="1250"/>
      <c r="E135" s="1250"/>
      <c r="F135" s="1250"/>
      <c r="G135" s="1250"/>
      <c r="H135" s="1251"/>
      <c r="I135" s="1252"/>
    </row>
    <row r="136" spans="1:9" ht="21.75" customHeight="1">
      <c r="A136" s="1248">
        <v>3</v>
      </c>
      <c r="B136" s="1249"/>
      <c r="C136" s="1249"/>
      <c r="D136" s="1250"/>
      <c r="E136" s="1250"/>
      <c r="F136" s="1890"/>
      <c r="G136" s="1890"/>
      <c r="H136" s="1890"/>
      <c r="I136" s="1890"/>
    </row>
    <row r="137" spans="1:9" ht="21.75" customHeight="1">
      <c r="A137" s="1253"/>
      <c r="B137" s="1254"/>
      <c r="C137" s="1254"/>
      <c r="D137" s="1255"/>
      <c r="E137" s="1255"/>
      <c r="F137" s="1255"/>
      <c r="G137" s="1255"/>
      <c r="H137" s="1256"/>
      <c r="I137" s="1257"/>
    </row>
    <row r="138" spans="1:9" ht="21.75" customHeight="1">
      <c r="A138" s="1249"/>
      <c r="B138" s="1249"/>
      <c r="C138" s="1249"/>
      <c r="D138" s="1250"/>
      <c r="E138" s="1250"/>
      <c r="F138" s="1250"/>
      <c r="G138" s="1250"/>
      <c r="H138" s="1251"/>
      <c r="I138" s="1258"/>
    </row>
    <row r="139" spans="1:9" ht="21.75" customHeight="1">
      <c r="A139" s="1258"/>
      <c r="B139" s="1258"/>
      <c r="C139" s="1258"/>
      <c r="D139" s="1258"/>
      <c r="E139" s="1258"/>
      <c r="F139" s="1259" t="s">
        <v>704</v>
      </c>
      <c r="G139" s="1260"/>
      <c r="H139" s="1260"/>
      <c r="I139" s="1261" t="s">
        <v>705</v>
      </c>
    </row>
    <row r="140" spans="1:9" ht="21.75" customHeight="1">
      <c r="A140" s="1258"/>
      <c r="B140" s="1262" t="s">
        <v>706</v>
      </c>
      <c r="C140" s="1258"/>
      <c r="D140" s="1258"/>
      <c r="E140" s="1258"/>
      <c r="F140" s="1258"/>
      <c r="G140" s="1258"/>
      <c r="H140" s="1258"/>
      <c r="I140" s="1258"/>
    </row>
    <row r="141" spans="1:9" ht="21.75" customHeight="1">
      <c r="A141" s="1258"/>
      <c r="B141" s="1258"/>
      <c r="C141" s="1258"/>
      <c r="D141" s="1258"/>
      <c r="E141" s="1258"/>
      <c r="F141" s="1258"/>
      <c r="G141" s="1258"/>
      <c r="H141" s="1258"/>
      <c r="I141" s="1258"/>
    </row>
    <row r="142" spans="1:9" ht="21.75" customHeight="1">
      <c r="A142" s="1258"/>
      <c r="B142" s="1260"/>
      <c r="C142" s="1260"/>
      <c r="D142" s="1260"/>
      <c r="E142" s="1260"/>
      <c r="F142" s="1260"/>
      <c r="G142" s="1260"/>
      <c r="H142" s="1260"/>
      <c r="I142" s="1261" t="s">
        <v>707</v>
      </c>
    </row>
    <row r="143" spans="1:9" ht="21.75" customHeight="1">
      <c r="A143" s="1258"/>
      <c r="B143" s="1262" t="s">
        <v>708</v>
      </c>
      <c r="C143" s="1258"/>
      <c r="D143" s="1258"/>
      <c r="E143" s="1258"/>
      <c r="F143" s="1258"/>
      <c r="G143" s="1258"/>
      <c r="H143" s="1258"/>
      <c r="I143" s="1258"/>
    </row>
    <row r="144" spans="1:9" ht="21.75" customHeight="1">
      <c r="A144" s="1258"/>
      <c r="B144" s="1262"/>
      <c r="C144" s="1258"/>
      <c r="D144" s="1258"/>
      <c r="E144" s="1258"/>
      <c r="F144" s="1258"/>
      <c r="G144" s="1258"/>
      <c r="H144" s="1258"/>
      <c r="I144" s="1258"/>
    </row>
    <row r="145" spans="1:35" ht="21.75" customHeight="1">
      <c r="A145" s="1258"/>
      <c r="B145" s="1260"/>
      <c r="C145" s="1260"/>
      <c r="D145" s="1260"/>
      <c r="E145" s="1260"/>
      <c r="F145" s="1260"/>
      <c r="G145" s="1260"/>
      <c r="H145" s="1260"/>
      <c r="I145" s="1261" t="s">
        <v>707</v>
      </c>
    </row>
    <row r="146" spans="1:35" ht="21.75" customHeight="1">
      <c r="A146" s="1258"/>
      <c r="B146" s="1262"/>
      <c r="C146" s="1263"/>
      <c r="D146" s="1264"/>
      <c r="E146" s="1264"/>
      <c r="F146" s="1265"/>
      <c r="G146" s="1258"/>
      <c r="H146" s="1258"/>
      <c r="I146" s="1258"/>
    </row>
    <row r="147" spans="1:35" s="1890" customFormat="1" ht="21.75" customHeight="1">
      <c r="A147" s="1258"/>
      <c r="B147" s="1262"/>
      <c r="C147" s="1263"/>
      <c r="D147" s="1264"/>
      <c r="E147" s="1264"/>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row>
    <row r="148" spans="1:35" s="1890" customFormat="1" ht="21.75" customHeight="1">
      <c r="A148" s="1258"/>
      <c r="B148" s="1258"/>
      <c r="C148" s="1258"/>
      <c r="D148" s="1258"/>
      <c r="E148" s="1258"/>
      <c r="F148" s="1258"/>
      <c r="G148" s="1258"/>
      <c r="H148" s="1258"/>
      <c r="I148" s="1258"/>
      <c r="J148" s="1258"/>
      <c r="K148" s="1258"/>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row>
    <row r="149" spans="1:35" s="1890" customFormat="1" ht="21.75" customHeight="1">
      <c r="A149" s="1258"/>
      <c r="B149" s="1258"/>
      <c r="C149" s="1258"/>
      <c r="D149" s="1258"/>
      <c r="E149" s="1258"/>
      <c r="F149" s="1258"/>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row>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F516" s="1059"/>
      <c r="G516" s="1059"/>
      <c r="H516" s="1059"/>
      <c r="I516" s="1059"/>
      <c r="J516" s="1258"/>
      <c r="K516" s="1258"/>
      <c r="L516" s="1258"/>
      <c r="M516" s="1258"/>
      <c r="N516" s="1258"/>
      <c r="O516" s="1258"/>
      <c r="P516" s="1258"/>
      <c r="Q516" s="1258"/>
      <c r="R516" s="1258"/>
      <c r="S516" s="1258"/>
      <c r="T516" s="1258"/>
      <c r="U516" s="1258"/>
      <c r="V516" s="1258"/>
      <c r="W516" s="1258"/>
      <c r="X516" s="1258"/>
      <c r="Y516" s="1258"/>
      <c r="Z516" s="125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SheetLayoutView="100" zoomScalePageLayoutView="80" workbookViewId="0">
      <selection activeCell="G26" sqref="G26"/>
    </sheetView>
  </sheetViews>
  <sheetFormatPr defaultColWidth="12.625" defaultRowHeight="21.75" customHeight="1"/>
  <cols>
    <col min="1" max="1" width="12.625" style="1059"/>
    <col min="2" max="2" width="17.625" style="1059" customWidth="1"/>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676</v>
      </c>
      <c r="B1" s="1058"/>
      <c r="C1" s="1058"/>
      <c r="D1" s="1058"/>
      <c r="E1" s="1058"/>
      <c r="F1" s="1058"/>
      <c r="G1" s="1058"/>
      <c r="H1" s="1058"/>
      <c r="I1" s="1058"/>
    </row>
    <row r="2" spans="1:12" ht="21.75" customHeight="1">
      <c r="A2" s="3361" t="s">
        <v>2219</v>
      </c>
      <c r="B2" s="3361"/>
      <c r="C2" s="3361"/>
      <c r="D2" s="3361"/>
      <c r="E2" s="3361"/>
      <c r="F2" s="3361"/>
      <c r="G2" s="3361"/>
      <c r="H2" s="3361"/>
      <c r="I2" s="3361"/>
    </row>
    <row r="3" spans="1:12" ht="12">
      <c r="A3" s="3306" t="s">
        <v>8</v>
      </c>
      <c r="B3" s="3307"/>
      <c r="C3" s="3307"/>
      <c r="D3" s="3307"/>
      <c r="E3" s="3307"/>
      <c r="F3" s="3307"/>
      <c r="G3" s="3307"/>
      <c r="H3" s="3307"/>
      <c r="I3" s="3307"/>
    </row>
    <row r="4" spans="1:12" ht="13.5">
      <c r="A4" s="237" t="s">
        <v>9</v>
      </c>
      <c r="B4" s="2039" t="s">
        <v>10</v>
      </c>
      <c r="C4" s="238" t="s">
        <v>2959</v>
      </c>
      <c r="D4" s="238" t="s">
        <v>2957</v>
      </c>
      <c r="E4" s="3311" t="s">
        <v>677</v>
      </c>
      <c r="F4" s="3312"/>
      <c r="G4" s="3312"/>
      <c r="H4" s="3312"/>
      <c r="I4" s="3313"/>
      <c r="K4" s="1225" t="str">
        <f>IF(ISNUMBER(FIND("比较法",'结果表 (1修多)'!C4)),"比较法",IF(ISNUMBER(FIND("成本法",'结果表 (1修多)'!C4)),"成本法",IF(ISNUMBER(FIND("假设开发法",'结果表 (1修多)'!C4)),"假设开发法",IF(ISNUMBER(FIND("收益法",'结果表 (1修多)'!C4)),"收益法","基准地价系数修正法"))))</f>
        <v>比较法</v>
      </c>
      <c r="L4" s="122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3299" t="s">
        <v>11</v>
      </c>
      <c r="B5" s="3300">
        <v>25</v>
      </c>
      <c r="C5" s="3308"/>
      <c r="D5" s="3305"/>
      <c r="E5" s="272" t="s">
        <v>720</v>
      </c>
      <c r="F5" s="239"/>
      <c r="G5" s="239"/>
      <c r="H5" s="239"/>
      <c r="I5" s="240"/>
    </row>
    <row r="6" spans="1:12" ht="12.75">
      <c r="A6" s="3299"/>
      <c r="B6" s="3300"/>
      <c r="C6" s="3309"/>
      <c r="D6" s="3305"/>
      <c r="E6" s="272" t="s">
        <v>721</v>
      </c>
      <c r="F6" s="239"/>
      <c r="G6" s="239"/>
      <c r="H6" s="239"/>
      <c r="I6" s="240"/>
    </row>
    <row r="7" spans="1:12" ht="12.75">
      <c r="A7" s="3299"/>
      <c r="B7" s="3300"/>
      <c r="C7" s="3310"/>
      <c r="D7" s="3305"/>
      <c r="E7" s="272" t="s">
        <v>722</v>
      </c>
      <c r="F7" s="239"/>
      <c r="G7" s="239"/>
      <c r="H7" s="239"/>
      <c r="I7" s="240"/>
    </row>
    <row r="8" spans="1:12" ht="12.75">
      <c r="A8" s="3299" t="s">
        <v>12</v>
      </c>
      <c r="B8" s="3300">
        <v>15</v>
      </c>
      <c r="C8" s="3308"/>
      <c r="D8" s="3305"/>
      <c r="E8" s="272" t="s">
        <v>723</v>
      </c>
      <c r="F8" s="239"/>
      <c r="G8" s="239"/>
      <c r="H8" s="239"/>
      <c r="I8" s="240"/>
    </row>
    <row r="9" spans="1:12" ht="12.75">
      <c r="A9" s="3299"/>
      <c r="B9" s="3300"/>
      <c r="C9" s="3310"/>
      <c r="D9" s="3305"/>
      <c r="E9" s="272" t="s">
        <v>724</v>
      </c>
      <c r="F9" s="239"/>
      <c r="G9" s="239"/>
      <c r="H9" s="239"/>
      <c r="I9" s="240"/>
    </row>
    <row r="10" spans="1:12" ht="12.75">
      <c r="A10" s="3299" t="s">
        <v>13</v>
      </c>
      <c r="B10" s="3300">
        <v>15</v>
      </c>
      <c r="C10" s="3308"/>
      <c r="D10" s="3305"/>
      <c r="E10" s="272" t="s">
        <v>725</v>
      </c>
      <c r="F10" s="239"/>
      <c r="G10" s="239"/>
      <c r="H10" s="239"/>
      <c r="I10" s="240"/>
    </row>
    <row r="11" spans="1:12" ht="12.75">
      <c r="A11" s="3299"/>
      <c r="B11" s="3300"/>
      <c r="C11" s="3310"/>
      <c r="D11" s="3305"/>
      <c r="E11" s="272" t="s">
        <v>726</v>
      </c>
      <c r="F11" s="239"/>
      <c r="G11" s="239"/>
      <c r="H11" s="239"/>
      <c r="I11" s="240"/>
    </row>
    <row r="12" spans="1:12" ht="12.75">
      <c r="A12" s="3299" t="s">
        <v>14</v>
      </c>
      <c r="B12" s="3300">
        <v>15</v>
      </c>
      <c r="C12" s="3308"/>
      <c r="D12" s="3305"/>
      <c r="E12" s="272" t="s">
        <v>727</v>
      </c>
      <c r="F12" s="239"/>
      <c r="G12" s="239"/>
      <c r="H12" s="239"/>
      <c r="I12" s="240"/>
    </row>
    <row r="13" spans="1:12" ht="12.75">
      <c r="A13" s="3299"/>
      <c r="B13" s="3300"/>
      <c r="C13" s="3310"/>
      <c r="D13" s="3305"/>
      <c r="E13" s="272" t="s">
        <v>728</v>
      </c>
      <c r="F13" s="239"/>
      <c r="G13" s="239"/>
      <c r="H13" s="239"/>
      <c r="I13" s="240"/>
    </row>
    <row r="14" spans="1:12" ht="12.75">
      <c r="A14" s="3299" t="s">
        <v>15</v>
      </c>
      <c r="B14" s="3300">
        <v>30</v>
      </c>
      <c r="C14" s="3308">
        <v>5</v>
      </c>
      <c r="D14" s="3305">
        <v>5</v>
      </c>
      <c r="E14" s="272" t="s">
        <v>729</v>
      </c>
      <c r="F14" s="239"/>
      <c r="G14" s="239"/>
      <c r="H14" s="239"/>
      <c r="I14" s="240"/>
    </row>
    <row r="15" spans="1:12" ht="12.75">
      <c r="A15" s="3299"/>
      <c r="B15" s="3300"/>
      <c r="C15" s="3309"/>
      <c r="D15" s="3305"/>
      <c r="E15" s="272" t="s">
        <v>730</v>
      </c>
      <c r="F15" s="239"/>
      <c r="G15" s="239"/>
      <c r="H15" s="239"/>
      <c r="I15" s="240"/>
    </row>
    <row r="16" spans="1:12" ht="12.75">
      <c r="A16" s="3299"/>
      <c r="B16" s="3300"/>
      <c r="C16" s="3310"/>
      <c r="D16" s="3305"/>
      <c r="E16" s="272" t="s">
        <v>731</v>
      </c>
      <c r="F16" s="239"/>
      <c r="G16" s="239"/>
      <c r="H16" s="239"/>
      <c r="I16" s="240"/>
    </row>
    <row r="17" spans="1:35" ht="14.25">
      <c r="A17" s="241" t="s">
        <v>16</v>
      </c>
      <c r="B17" s="10"/>
      <c r="C17" s="273">
        <f>SUM(C5:C16)</f>
        <v>5</v>
      </c>
      <c r="D17" s="273">
        <f>SUM(D5:D16)</f>
        <v>5</v>
      </c>
      <c r="E17" s="1058"/>
      <c r="F17" s="1058"/>
      <c r="G17" s="1058"/>
      <c r="H17" s="1058"/>
      <c r="I17" s="1058"/>
    </row>
    <row r="18" spans="1:35" ht="15" thickBot="1">
      <c r="A18" s="242" t="s">
        <v>17</v>
      </c>
      <c r="B18" s="8"/>
      <c r="C18" s="274">
        <f>ROUND(C17/SUM(C17:D17),2)</f>
        <v>0.5</v>
      </c>
      <c r="D18" s="274">
        <f>1-C18</f>
        <v>0.5</v>
      </c>
      <c r="E18" s="1058"/>
      <c r="F18" s="1058"/>
      <c r="G18" s="1058"/>
      <c r="H18" s="1058"/>
      <c r="I18" s="1058"/>
    </row>
    <row r="19" spans="1:35" ht="14.25">
      <c r="A19" s="243" t="s">
        <v>187</v>
      </c>
      <c r="B19" s="244" t="s">
        <v>18</v>
      </c>
      <c r="C19" s="275">
        <f ca="1">SUMIF(INDIRECT("'"&amp;C4&amp;"'"&amp;"!A:A"),'结果表 (1修多)'!B19,INDIRECT("'"&amp;C4&amp;"'"&amp;"!B:B"))</f>
        <v>1426</v>
      </c>
      <c r="D19" s="276">
        <f ca="1">SUMIF(INDIRECT("'"&amp;D4&amp;"'"&amp;"!A:A"),'结果表 (1修多)'!B19,INDIRECT("'"&amp;D4&amp;"'"&amp;"!B:B"))</f>
        <v>1125</v>
      </c>
      <c r="E19" s="243" t="s">
        <v>186</v>
      </c>
      <c r="F19" s="244" t="s">
        <v>18</v>
      </c>
      <c r="G19" s="277">
        <f ca="1">ROUND(C19*$C$18+D19*$D$18,0)</f>
        <v>1276</v>
      </c>
      <c r="H19" s="2017" t="str">
        <f>'数据-取费表'!B3</f>
        <v>万元</v>
      </c>
      <c r="I19" s="1058"/>
    </row>
    <row r="20" spans="1:35" ht="14.25">
      <c r="A20" s="245"/>
      <c r="B20" s="246" t="s">
        <v>19</v>
      </c>
      <c r="C20" s="278">
        <f ca="1">SUMIF(INDIRECT("'"&amp;C4&amp;"'"&amp;"!A:A"),'结果表 (1修多)'!B20,INDIRECT("'"&amp;C4&amp;"'"&amp;"!B:B"))</f>
        <v>55805</v>
      </c>
      <c r="D20" s="279">
        <f ca="1">SUMIF(INDIRECT("'"&amp;D4&amp;"'"&amp;"!A:A"),'结果表 (1修多)'!B20,INDIRECT("'"&amp;D4&amp;"'"&amp;"!B:B"))</f>
        <v>44038</v>
      </c>
      <c r="E20" s="245"/>
      <c r="F20" s="246" t="s">
        <v>19</v>
      </c>
      <c r="G20" s="280">
        <f ca="1">ROUND(C20*$C$18+D20*$D$18,0)</f>
        <v>49922</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0.26755555555555555</v>
      </c>
      <c r="E22" s="1058"/>
      <c r="F22" s="1058"/>
      <c r="G22" s="1058"/>
      <c r="H22" s="1058"/>
      <c r="I22" s="1058"/>
    </row>
    <row r="23" spans="1:35" ht="12.75" thickBot="1">
      <c r="A23" s="1058"/>
      <c r="B23" s="1058"/>
      <c r="C23" s="1058"/>
      <c r="D23" s="1058"/>
      <c r="E23" s="1058"/>
      <c r="F23" s="1058"/>
      <c r="G23" s="1058"/>
      <c r="H23" s="1058"/>
      <c r="I23" s="1058"/>
    </row>
    <row r="24" spans="1:35" ht="21.75" customHeight="1">
      <c r="A24" s="3314" t="s">
        <v>184</v>
      </c>
      <c r="B24" s="244" t="s">
        <v>18</v>
      </c>
      <c r="C24" s="277">
        <f>D30</f>
        <v>0</v>
      </c>
      <c r="D24" s="251"/>
      <c r="E24" s="1058"/>
      <c r="F24" s="1058"/>
      <c r="G24" s="1058"/>
      <c r="H24" s="1058"/>
      <c r="I24" s="1058"/>
    </row>
    <row r="25" spans="1:35" ht="21.75" customHeight="1">
      <c r="A25" s="3315"/>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t="s">
        <v>2767</v>
      </c>
      <c r="B27" s="283">
        <v>0</v>
      </c>
      <c r="C27" s="283">
        <v>0</v>
      </c>
      <c r="D27" s="284">
        <f>ROUND(C27*B27/10000,0)</f>
        <v>0</v>
      </c>
      <c r="E27" s="1058"/>
      <c r="F27" s="1058"/>
      <c r="G27" s="1058"/>
      <c r="H27" s="1058"/>
      <c r="I27" s="1058"/>
    </row>
    <row r="28" spans="1:35" ht="14.25">
      <c r="A28" s="253"/>
      <c r="B28" s="283"/>
      <c r="C28" s="283"/>
      <c r="D28" s="284">
        <f>ROUND(C28*B28/10000,0)</f>
        <v>0</v>
      </c>
      <c r="E28" s="1058"/>
      <c r="F28" s="1058"/>
      <c r="G28" s="1058"/>
      <c r="H28" s="1058"/>
      <c r="I28" s="1058"/>
    </row>
    <row r="29" spans="1:35" ht="14.25">
      <c r="A29" s="253"/>
      <c r="B29" s="283"/>
      <c r="C29" s="283"/>
      <c r="D29" s="284">
        <f t="shared" ref="D29" si="0">ROUND(C29*B29/10000,0)</f>
        <v>0</v>
      </c>
      <c r="E29" s="1058"/>
      <c r="F29" s="1058"/>
      <c r="G29" s="1058"/>
      <c r="H29" s="1058"/>
      <c r="I29" s="1058"/>
    </row>
    <row r="30" spans="1:35" ht="15" thickBot="1">
      <c r="A30" s="2047" t="s">
        <v>183</v>
      </c>
      <c r="B30" s="2048">
        <f>SUM(B27:B29)</f>
        <v>0</v>
      </c>
      <c r="C30" s="2048" t="e">
        <f>ROUND(D30*10000/B30,0)</f>
        <v>#DIV/0!</v>
      </c>
      <c r="D30" s="2048">
        <f>SUM(D27:D29)</f>
        <v>0</v>
      </c>
      <c r="E30" s="1058"/>
      <c r="F30" s="1058"/>
      <c r="G30" s="1058"/>
      <c r="H30" s="1058"/>
      <c r="I30" s="1058"/>
    </row>
    <row r="31" spans="1:35" s="1060" customFormat="1" ht="14.25" thickBot="1">
      <c r="A31" s="3371" t="s">
        <v>2221</v>
      </c>
      <c r="B31" s="3371"/>
      <c r="C31" s="3371"/>
      <c r="D31" s="3371"/>
      <c r="E31" s="3371"/>
      <c r="F31" s="3371"/>
      <c r="G31" s="3371"/>
      <c r="H31" s="3371"/>
      <c r="I31" s="3371"/>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4.25">
      <c r="A32" s="2293"/>
      <c r="B32" s="2294" t="s">
        <v>2276</v>
      </c>
      <c r="C32" s="2295">
        <f>典型户型修正!R27</f>
        <v>55805</v>
      </c>
      <c r="D32" s="1058" t="s">
        <v>2277</v>
      </c>
      <c r="E32" s="1058"/>
      <c r="F32" s="1058"/>
      <c r="G32" s="1058"/>
      <c r="H32" s="1058"/>
      <c r="I32" s="1058"/>
    </row>
    <row r="33" spans="1:16" ht="14.25">
      <c r="A33" s="2296" t="s">
        <v>2278</v>
      </c>
      <c r="B33" s="2292" t="s">
        <v>2279</v>
      </c>
      <c r="C33" s="2297">
        <f>典型户型修正!B2</f>
        <v>880</v>
      </c>
      <c r="D33" s="2291" t="str">
        <f>IF('数据-取费表'!B3="万元","万元","元")</f>
        <v>万元</v>
      </c>
      <c r="E33" s="1058"/>
      <c r="F33" s="1058"/>
      <c r="G33" s="1058"/>
      <c r="H33" s="1058"/>
      <c r="I33" s="1058"/>
    </row>
    <row r="34" spans="1:16" ht="15" thickBot="1">
      <c r="A34" s="2298"/>
      <c r="B34" s="2299" t="s">
        <v>2280</v>
      </c>
      <c r="C34" s="1210">
        <f>典型户型修正!B3</f>
        <v>54117</v>
      </c>
      <c r="D34" s="1058" t="s">
        <v>2277</v>
      </c>
      <c r="E34" s="1058"/>
      <c r="F34" s="1058"/>
      <c r="G34" s="1058"/>
      <c r="H34" s="1058"/>
      <c r="I34" s="1058"/>
    </row>
    <row r="35" spans="1:16" ht="15">
      <c r="A35" s="2310"/>
      <c r="B35" s="2311" t="s">
        <v>681</v>
      </c>
      <c r="C35" s="2312">
        <f>IF('数据-取费表'!B3="万元",典型户型修正!V25,典型户型修正!U25)</f>
        <v>0</v>
      </c>
      <c r="D35" s="1058" t="str">
        <f>D33</f>
        <v>万元</v>
      </c>
      <c r="E35" s="1058"/>
      <c r="F35" s="1058"/>
      <c r="G35" s="1058"/>
      <c r="H35" s="1058"/>
      <c r="I35" s="1058"/>
    </row>
    <row r="36" spans="1:16" ht="15.75" thickBot="1">
      <c r="A36" s="262"/>
      <c r="B36" s="2313" t="s">
        <v>683</v>
      </c>
      <c r="C36" s="2314">
        <f>IF('数据-取费表'!B3="万元",典型户型修正!Y25,典型户型修正!X25)</f>
        <v>0</v>
      </c>
      <c r="D36" s="1058" t="str">
        <f>D33</f>
        <v>万元</v>
      </c>
      <c r="E36" s="1058"/>
      <c r="F36" s="1058"/>
      <c r="G36" s="1058"/>
      <c r="H36" s="1058"/>
      <c r="I36" s="1058"/>
    </row>
    <row r="37" spans="1:16" ht="15.75" thickBot="1">
      <c r="A37" s="3321" t="s">
        <v>679</v>
      </c>
      <c r="B37" s="258" t="s">
        <v>680</v>
      </c>
      <c r="C37" s="286"/>
      <c r="D37" s="1889"/>
      <c r="E37" s="1793"/>
      <c r="F37" s="1793"/>
      <c r="G37" s="1058"/>
      <c r="H37" s="1058"/>
      <c r="I37" s="1058"/>
    </row>
    <row r="38" spans="1:16" ht="15.75" thickBot="1">
      <c r="A38" s="3322"/>
      <c r="B38" s="5" t="s">
        <v>682</v>
      </c>
      <c r="C38" s="288"/>
      <c r="D38" s="8"/>
      <c r="E38" s="8"/>
      <c r="F38" s="1793"/>
      <c r="G38" s="8"/>
      <c r="H38" s="8"/>
      <c r="I38" s="8"/>
    </row>
    <row r="39" spans="1:16" ht="15.75" thickBot="1">
      <c r="A39" s="3323"/>
      <c r="B39" s="261" t="s">
        <v>684</v>
      </c>
      <c r="C39" s="1000"/>
      <c r="D39" s="1061" t="s">
        <v>685</v>
      </c>
      <c r="E39" s="8"/>
      <c r="F39" s="1793"/>
      <c r="G39" s="8"/>
      <c r="H39" s="8"/>
      <c r="I39" s="8"/>
    </row>
    <row r="40" spans="1:16" ht="13.5">
      <c r="A40" s="245" t="s">
        <v>686</v>
      </c>
      <c r="B40" s="264" t="s">
        <v>121</v>
      </c>
      <c r="C40" s="265" t="s">
        <v>122</v>
      </c>
      <c r="D40" s="265" t="s">
        <v>689</v>
      </c>
      <c r="E40" s="266" t="s">
        <v>123</v>
      </c>
      <c r="F40" s="1793"/>
      <c r="G40" s="8"/>
      <c r="H40" s="8"/>
      <c r="I40" s="8"/>
    </row>
    <row r="41" spans="1:16" ht="13.5">
      <c r="A41" s="1062" t="s">
        <v>691</v>
      </c>
      <c r="B41" s="291"/>
      <c r="C41" s="292"/>
      <c r="D41" s="292"/>
      <c r="E41" s="293"/>
      <c r="F41" s="1793"/>
      <c r="G41" s="8"/>
      <c r="H41" s="8"/>
      <c r="I41" s="8"/>
    </row>
    <row r="42" spans="1:16" ht="13.5">
      <c r="A42" s="1062" t="s">
        <v>692</v>
      </c>
      <c r="B42" s="291"/>
      <c r="C42" s="292"/>
      <c r="D42" s="292"/>
      <c r="E42" s="293"/>
      <c r="F42" s="1793"/>
      <c r="G42" s="8"/>
      <c r="H42" s="8"/>
      <c r="I42" s="8"/>
    </row>
    <row r="43" spans="1:16" ht="14.25" thickBot="1">
      <c r="A43" s="1063"/>
      <c r="B43" s="294"/>
      <c r="C43" s="295"/>
      <c r="D43" s="295"/>
      <c r="E43" s="296"/>
      <c r="F43" s="1793"/>
      <c r="G43" s="8"/>
      <c r="H43" s="8"/>
      <c r="I43" s="8"/>
    </row>
    <row r="44" spans="1:16" ht="12">
      <c r="A44" s="168"/>
      <c r="B44" s="168"/>
      <c r="C44" s="168"/>
      <c r="D44" s="168"/>
      <c r="E44" s="168"/>
      <c r="F44" s="1064"/>
      <c r="G44" s="1064"/>
      <c r="H44" s="1064"/>
      <c r="I44" s="1065"/>
    </row>
    <row r="45" spans="1:16" ht="18.75">
      <c r="A45" s="1066" t="s">
        <v>693</v>
      </c>
      <c r="B45" s="1067"/>
      <c r="C45" s="1067"/>
      <c r="D45" s="1068"/>
      <c r="E45" s="1068"/>
      <c r="F45" s="1069"/>
      <c r="G45" s="1069"/>
      <c r="H45" s="1069"/>
      <c r="I45" s="1069"/>
      <c r="J45" s="1226" t="s">
        <v>215</v>
      </c>
      <c r="K45" s="1227"/>
      <c r="L45" s="1227"/>
      <c r="M45" s="1227"/>
      <c r="N45" s="1227"/>
      <c r="O45" s="1227"/>
      <c r="P45" s="1225"/>
    </row>
    <row r="46" spans="1:16" ht="14.25" customHeight="1" thickBot="1">
      <c r="A46" s="3327" t="s">
        <v>712</v>
      </c>
      <c r="B46" s="3328"/>
      <c r="C46" s="3329"/>
      <c r="D46" s="297">
        <f>ROUND(I103*F46,0)</f>
        <v>880</v>
      </c>
      <c r="E46" s="298" t="s">
        <v>713</v>
      </c>
      <c r="F46" s="299">
        <v>1</v>
      </c>
      <c r="G46" s="300" t="s">
        <v>714</v>
      </c>
      <c r="H46" s="1058"/>
      <c r="I46" s="1058"/>
      <c r="J46" s="3231" t="s">
        <v>216</v>
      </c>
      <c r="K46" s="3231"/>
      <c r="L46" s="3231"/>
      <c r="M46" s="3231"/>
      <c r="N46" s="3231"/>
      <c r="O46" s="3231"/>
      <c r="P46" s="1225"/>
    </row>
    <row r="47" spans="1:16" ht="14.25" customHeight="1">
      <c r="A47" s="3316" t="s">
        <v>300</v>
      </c>
      <c r="B47" s="3317"/>
      <c r="C47" s="3317"/>
      <c r="D47" s="3317"/>
      <c r="E47" s="3317"/>
      <c r="F47" s="3317"/>
      <c r="G47" s="3318"/>
      <c r="H47" s="1070"/>
      <c r="I47" s="1024"/>
      <c r="J47" s="3030">
        <v>1</v>
      </c>
      <c r="K47" s="3231" t="s">
        <v>217</v>
      </c>
      <c r="L47" s="3231"/>
      <c r="M47" s="3360"/>
      <c r="N47" s="3360"/>
      <c r="O47" s="3360"/>
      <c r="P47" s="1225"/>
    </row>
    <row r="48" spans="1:16" ht="12" customHeight="1">
      <c r="A48" s="302" t="s">
        <v>301</v>
      </c>
      <c r="B48" s="303"/>
      <c r="C48" s="304"/>
      <c r="D48" s="305" t="s">
        <v>302</v>
      </c>
      <c r="E48" s="197" t="s">
        <v>303</v>
      </c>
      <c r="F48" s="306" t="s">
        <v>715</v>
      </c>
      <c r="G48" s="307" t="s">
        <v>716</v>
      </c>
      <c r="H48" s="1070"/>
      <c r="I48" s="1024"/>
      <c r="J48" s="3030">
        <v>2</v>
      </c>
      <c r="K48" s="3231" t="s">
        <v>218</v>
      </c>
      <c r="L48" s="3231"/>
      <c r="M48" s="3233">
        <f>'数据-取费表'!B2</f>
        <v>42998</v>
      </c>
      <c r="N48" s="3233"/>
      <c r="O48" s="3233"/>
      <c r="P48" s="1225"/>
    </row>
    <row r="49" spans="1:16" ht="25.5">
      <c r="A49" s="3324" t="s">
        <v>304</v>
      </c>
      <c r="B49" s="3325"/>
      <c r="C49" s="3325"/>
      <c r="D49" s="272">
        <f>IF(H49="情况1",0,IF(H49="情况2",D53,IF(H49="情况3",D54,IF(H49="情况4",D55))))</f>
        <v>47</v>
      </c>
      <c r="E49" s="2036" t="str">
        <f>IF(H49="情况4","(销售额-原购置价)×税（费）率","销售额×税（费）率")</f>
        <v>销售额×税（费）率</v>
      </c>
      <c r="F49" s="308">
        <f>IF(H49="情况1","免征",'数据-取费表'!E29)</f>
        <v>5.6000000000000001E-2</v>
      </c>
      <c r="G49" s="267" t="s">
        <v>175</v>
      </c>
      <c r="H49" s="1219" t="s">
        <v>1052</v>
      </c>
      <c r="I49" s="1070"/>
      <c r="J49" s="3030">
        <v>3</v>
      </c>
      <c r="K49" s="3231" t="s">
        <v>695</v>
      </c>
      <c r="L49" s="3231"/>
      <c r="M49" s="3234">
        <f>I103</f>
        <v>880</v>
      </c>
      <c r="N49" s="3234"/>
      <c r="O49" s="3234"/>
      <c r="P49" s="1225"/>
    </row>
    <row r="50" spans="1:16" ht="25.5" customHeight="1">
      <c r="A50" s="309" t="s">
        <v>305</v>
      </c>
      <c r="B50" s="3302" t="s">
        <v>718</v>
      </c>
      <c r="C50" s="3302"/>
      <c r="D50" s="310">
        <v>0</v>
      </c>
      <c r="E50" s="196" t="s">
        <v>306</v>
      </c>
      <c r="F50" s="201" t="s">
        <v>178</v>
      </c>
      <c r="G50" s="3222"/>
      <c r="H50" s="1058"/>
      <c r="I50" s="1071"/>
      <c r="J50" s="3030">
        <v>4</v>
      </c>
      <c r="K50" s="3231" t="str">
        <f>IF(项目基本情况!F5="房地产抵押价值","房地产抵押价值","抵押担保权已注销时的房地产抵押价值")</f>
        <v>房地产抵押价值</v>
      </c>
      <c r="L50" s="3231"/>
      <c r="M50" s="3234" t="str">
        <f>IF(项目基本情况!E8="房地产抵押价值",I111,I113)</f>
        <v>——</v>
      </c>
      <c r="N50" s="3234"/>
      <c r="O50" s="3234"/>
      <c r="P50" s="1225"/>
    </row>
    <row r="51" spans="1:16" ht="25.5" customHeight="1">
      <c r="A51" s="311"/>
      <c r="B51" s="3302" t="s">
        <v>307</v>
      </c>
      <c r="C51" s="3302"/>
      <c r="D51" s="312"/>
      <c r="E51" s="204"/>
      <c r="F51" s="313"/>
      <c r="G51" s="3223"/>
      <c r="H51" s="1058"/>
      <c r="I51" s="1071"/>
      <c r="J51" s="3231" t="s">
        <v>219</v>
      </c>
      <c r="K51" s="3231"/>
      <c r="L51" s="3231"/>
      <c r="M51" s="3231"/>
      <c r="N51" s="3231"/>
      <c r="O51" s="3231"/>
      <c r="P51" s="1225"/>
    </row>
    <row r="52" spans="1:16" ht="12" customHeight="1">
      <c r="A52" s="314"/>
      <c r="B52" s="3302" t="s">
        <v>308</v>
      </c>
      <c r="C52" s="3302"/>
      <c r="D52" s="315"/>
      <c r="E52" s="203"/>
      <c r="F52" s="313"/>
      <c r="G52" s="3224"/>
      <c r="H52" s="1058"/>
      <c r="I52" s="1071"/>
      <c r="J52" s="3028" t="s">
        <v>220</v>
      </c>
      <c r="K52" s="3231" t="s">
        <v>221</v>
      </c>
      <c r="L52" s="3231"/>
      <c r="M52" s="3028" t="s">
        <v>222</v>
      </c>
      <c r="N52" s="3028" t="s">
        <v>223</v>
      </c>
      <c r="O52" s="3028" t="s">
        <v>224</v>
      </c>
      <c r="P52" s="1225"/>
    </row>
    <row r="53" spans="1:16" ht="24" customHeight="1">
      <c r="A53" s="316" t="s">
        <v>309</v>
      </c>
      <c r="B53" s="3302" t="s">
        <v>310</v>
      </c>
      <c r="C53" s="3302"/>
      <c r="D53" s="315">
        <f>ROUND(D46*'数据-取费表'!E29/(1+'数据-取费表'!F30),0)</f>
        <v>47</v>
      </c>
      <c r="E53" s="193" t="s">
        <v>311</v>
      </c>
      <c r="F53" s="317">
        <f>'数据-取费表'!E29</f>
        <v>5.6000000000000001E-2</v>
      </c>
      <c r="G53" s="268"/>
      <c r="H53" s="1058"/>
      <c r="I53" s="1071"/>
      <c r="J53" s="3030">
        <v>1</v>
      </c>
      <c r="K53" s="3221" t="s">
        <v>696</v>
      </c>
      <c r="L53" s="3221"/>
      <c r="M53" s="1228">
        <f>D49</f>
        <v>47</v>
      </c>
      <c r="N53" s="3029" t="str">
        <f>E49</f>
        <v>销售额×税（费）率</v>
      </c>
      <c r="O53" s="1229">
        <f>F49</f>
        <v>5.6000000000000001E-2</v>
      </c>
      <c r="P53" s="1225"/>
    </row>
    <row r="54" spans="1:16" ht="12" customHeight="1">
      <c r="A54" s="316" t="s">
        <v>312</v>
      </c>
      <c r="B54" s="3301" t="s">
        <v>313</v>
      </c>
      <c r="C54" s="3304"/>
      <c r="D54" s="315">
        <f>ROUND(D46*'数据-取费表'!E29/(1+'数据-取费表'!F30),0)</f>
        <v>47</v>
      </c>
      <c r="E54" s="193" t="s">
        <v>311</v>
      </c>
      <c r="F54" s="317">
        <f>'数据-取费表'!E29</f>
        <v>5.6000000000000001E-2</v>
      </c>
      <c r="G54" s="268"/>
      <c r="H54" s="1058"/>
      <c r="I54" s="1071"/>
      <c r="J54" s="3030">
        <v>2</v>
      </c>
      <c r="K54" s="3221" t="s">
        <v>697</v>
      </c>
      <c r="L54" s="3221"/>
      <c r="M54" s="1228">
        <f t="shared" ref="M54:O55" si="1">D56</f>
        <v>0</v>
      </c>
      <c r="N54" s="3029" t="str">
        <f t="shared" si="1"/>
        <v>销售额×税（费）率</v>
      </c>
      <c r="O54" s="1229">
        <f t="shared" si="1"/>
        <v>5.0000000000000001E-4</v>
      </c>
      <c r="P54" s="1225"/>
    </row>
    <row r="55" spans="1:16" ht="12" customHeight="1">
      <c r="A55" s="316" t="s">
        <v>314</v>
      </c>
      <c r="B55" s="3301" t="s">
        <v>315</v>
      </c>
      <c r="C55" s="3304"/>
      <c r="D55" s="315">
        <f>C69</f>
        <v>47</v>
      </c>
      <c r="E55" s="203" t="s">
        <v>316</v>
      </c>
      <c r="F55" s="317">
        <f>'数据-取费表'!E29</f>
        <v>5.6000000000000001E-2</v>
      </c>
      <c r="G55" s="268"/>
      <c r="H55" s="1072"/>
      <c r="I55" s="1071"/>
      <c r="J55" s="3030">
        <v>3</v>
      </c>
      <c r="K55" s="3221" t="s">
        <v>698</v>
      </c>
      <c r="L55" s="3221"/>
      <c r="M55" s="1228">
        <f t="shared" si="1"/>
        <v>498</v>
      </c>
      <c r="N55" s="3029" t="str">
        <f t="shared" si="1"/>
        <v>增值额×税（费）率</v>
      </c>
      <c r="O55" s="1230" t="str">
        <f t="shared" si="1"/>
        <v>——</v>
      </c>
      <c r="P55" s="1225"/>
    </row>
    <row r="56" spans="1:16" ht="24" customHeight="1">
      <c r="A56" s="3330" t="s">
        <v>317</v>
      </c>
      <c r="B56" s="3325"/>
      <c r="C56" s="3325"/>
      <c r="D56" s="318">
        <f>IF(H56="个人住宅",0,ROUND(D46*I56,0))</f>
        <v>0</v>
      </c>
      <c r="E56" s="193" t="s">
        <v>318</v>
      </c>
      <c r="F56" s="317">
        <f>IF(H56="正常",I56,"免征")</f>
        <v>5.0000000000000001E-4</v>
      </c>
      <c r="G56" s="268"/>
      <c r="H56" s="1219" t="s">
        <v>157</v>
      </c>
      <c r="I56" s="319">
        <f>'数据-取费表'!E37</f>
        <v>5.0000000000000001E-4</v>
      </c>
      <c r="J56" s="3030" t="str">
        <f>IF(H60="非个人房产","",4)</f>
        <v/>
      </c>
      <c r="K56" s="3221" t="str">
        <f>IF(H60="非个人房产","——","个人所得税")</f>
        <v>——</v>
      </c>
      <c r="L56" s="3221"/>
      <c r="M56" s="1231" t="str">
        <f>D60</f>
        <v>——</v>
      </c>
      <c r="N56" s="1232" t="str">
        <f>E60</f>
        <v>——</v>
      </c>
      <c r="O56" s="1233" t="str">
        <f>F60</f>
        <v>——</v>
      </c>
      <c r="P56" s="1225"/>
    </row>
    <row r="57" spans="1:16" ht="24.75">
      <c r="A57" s="3330" t="s">
        <v>319</v>
      </c>
      <c r="B57" s="3325"/>
      <c r="C57" s="3325"/>
      <c r="D57" s="318">
        <f>IF(H57="个人住宅",D58,D59)</f>
        <v>498</v>
      </c>
      <c r="E57" s="193" t="s">
        <v>320</v>
      </c>
      <c r="F57" s="317" t="str">
        <f>IF(H57="正常",F59,"免征")</f>
        <v>——</v>
      </c>
      <c r="G57" s="1073" t="s">
        <v>175</v>
      </c>
      <c r="H57" s="1218" t="s">
        <v>157</v>
      </c>
      <c r="I57" s="167"/>
      <c r="J57" s="3030" t="str">
        <f>IF(项目基本情况!I6="上海银行",IF(J56="",4,J56+1),"")</f>
        <v/>
      </c>
      <c r="K57" s="3240" t="str">
        <f>IF(项目基本情况!I6="上海银行","其他处置费用","")</f>
        <v/>
      </c>
      <c r="L57" s="3241"/>
      <c r="M57" s="1228" t="str">
        <f>IF(项目基本情况!I6="上海银行",M70,"")</f>
        <v/>
      </c>
      <c r="N57" s="3219" t="str">
        <f>IF(项目基本情况!I6="上海银行","包含处置中涉及的律师、诉讼、拍卖、评估等费用","")</f>
        <v/>
      </c>
      <c r="O57" s="3220"/>
      <c r="P57" s="1225"/>
    </row>
    <row r="58" spans="1:16" ht="12.75">
      <c r="A58" s="316" t="s">
        <v>305</v>
      </c>
      <c r="B58" s="3319" t="s">
        <v>321</v>
      </c>
      <c r="C58" s="3326"/>
      <c r="D58" s="320">
        <v>0</v>
      </c>
      <c r="E58" s="196" t="s">
        <v>306</v>
      </c>
      <c r="F58" s="287"/>
      <c r="G58" s="268"/>
      <c r="H58" s="167"/>
      <c r="I58" s="167"/>
      <c r="J58" s="3239">
        <f>IF(AND(J56="",J57=""),4,IF(项目基本情况!I6="上海银行",J57+1,J56+1))</f>
        <v>4</v>
      </c>
      <c r="K58" s="3221" t="s">
        <v>183</v>
      </c>
      <c r="L58" s="1234" t="s">
        <v>225</v>
      </c>
      <c r="M58" s="1235"/>
      <c r="N58" s="1236">
        <f>SUMIF(M53:M57,"&lt;9e307")</f>
        <v>545</v>
      </c>
      <c r="O58" s="1237"/>
      <c r="P58" s="3031" t="e">
        <f>N58/M50</f>
        <v>#VALUE!</v>
      </c>
    </row>
    <row r="59" spans="1:16" ht="24.75">
      <c r="A59" s="316" t="s">
        <v>309</v>
      </c>
      <c r="B59" s="3319" t="s">
        <v>322</v>
      </c>
      <c r="C59" s="3320"/>
      <c r="D59" s="318">
        <f>IF(H59="转让取得",C82,C98)</f>
        <v>498</v>
      </c>
      <c r="E59" s="193" t="s">
        <v>320</v>
      </c>
      <c r="F59" s="197" t="s">
        <v>178</v>
      </c>
      <c r="G59" s="268"/>
      <c r="H59" s="1218" t="s">
        <v>1051</v>
      </c>
      <c r="I59" s="167"/>
      <c r="J59" s="3239"/>
      <c r="K59" s="3221"/>
      <c r="L59" s="1234" t="s">
        <v>226</v>
      </c>
      <c r="M59" s="1238"/>
      <c r="N59" s="1239" t="str">
        <f>IF(H19="元",NUMBERSTRING(INT(N58),2)&amp;"元整",NUMBERSTRING(INT(N58*10000),2)&amp;"元整")</f>
        <v>伍佰肆拾伍万元整</v>
      </c>
      <c r="O59" s="1240"/>
      <c r="P59" s="1225"/>
    </row>
    <row r="60" spans="1:16" ht="24.75" thickBot="1">
      <c r="A60" s="3331" t="s">
        <v>323</v>
      </c>
      <c r="B60" s="3332"/>
      <c r="C60" s="3332"/>
      <c r="D60" s="321" t="str">
        <f>IF(H60="非个人房产","——",IF(H60="个人住宅",0,ROUND(D46*I60,0)))</f>
        <v>——</v>
      </c>
      <c r="E60" s="322" t="str">
        <f>IF(H60="非个人房产","——","销售额×税（费）率")</f>
        <v>——</v>
      </c>
      <c r="F60" s="323" t="str">
        <f>IF(H60="非个人房产","——",IF(H60="个人住宅","免征",I60))</f>
        <v>——</v>
      </c>
      <c r="G60" s="1074" t="s">
        <v>175</v>
      </c>
      <c r="H60" s="1218" t="s">
        <v>1050</v>
      </c>
      <c r="I60" s="324">
        <v>0.01</v>
      </c>
      <c r="J60" s="3278">
        <f>J58+1</f>
        <v>5</v>
      </c>
      <c r="K60" s="3221" t="s">
        <v>179</v>
      </c>
      <c r="L60" s="3029" t="s">
        <v>225</v>
      </c>
      <c r="M60" s="1241"/>
      <c r="N60" s="1242" t="e">
        <f>M50-N58</f>
        <v>#VALUE!</v>
      </c>
      <c r="O60" s="1243"/>
      <c r="P60" s="1225"/>
    </row>
    <row r="61" spans="1:16" ht="12" customHeight="1">
      <c r="A61" s="1714"/>
      <c r="B61" s="1058"/>
      <c r="C61" s="1058"/>
      <c r="D61" s="1058"/>
      <c r="E61" s="167"/>
      <c r="F61" s="167"/>
      <c r="G61" s="167"/>
      <c r="H61" s="168"/>
      <c r="I61" s="1058"/>
      <c r="J61" s="3279"/>
      <c r="K61" s="3221"/>
      <c r="L61" s="1234" t="s">
        <v>226</v>
      </c>
      <c r="M61" s="1238"/>
      <c r="N61" s="1239" t="e">
        <f>IF(H19="元",NUMBERSTRING(INT(N60),2)&amp;"元整",NUMBERSTRING(INT(N60*10000),2)&amp;"元整")</f>
        <v>#VALUE!</v>
      </c>
      <c r="O61" s="1240"/>
      <c r="P61" s="1225"/>
    </row>
    <row r="62" spans="1:16" ht="13.5" thickBot="1">
      <c r="A62" s="3333" t="s">
        <v>324</v>
      </c>
      <c r="B62" s="3333"/>
      <c r="C62" s="3333"/>
      <c r="D62" s="3333"/>
      <c r="E62" s="3333"/>
      <c r="F62" s="167"/>
      <c r="G62" s="167"/>
      <c r="H62" s="168"/>
      <c r="I62" s="1058"/>
      <c r="J62" s="3030">
        <f>J60+1</f>
        <v>6</v>
      </c>
      <c r="K62" s="3221" t="s">
        <v>227</v>
      </c>
      <c r="L62" s="3221"/>
      <c r="M62" s="1244"/>
      <c r="N62" s="1245" t="e">
        <f>IF(H19="元",ROUND(N60/项目基本情况!C12,0),ROUND(N60*10000/项目基本情况!C12,0))</f>
        <v>#VALUE!</v>
      </c>
      <c r="O62" s="1246"/>
      <c r="P62" s="1225"/>
    </row>
    <row r="63" spans="1:16" ht="12.75">
      <c r="A63" s="3262" t="s">
        <v>325</v>
      </c>
      <c r="B63" s="3263"/>
      <c r="C63" s="2037"/>
      <c r="D63" s="2037" t="s">
        <v>333</v>
      </c>
      <c r="E63" s="325" t="s">
        <v>334</v>
      </c>
      <c r="F63" s="167"/>
      <c r="G63" s="167"/>
      <c r="H63" s="168"/>
      <c r="I63" s="1058"/>
      <c r="J63" s="1225"/>
      <c r="K63" s="1225"/>
      <c r="L63" s="1225"/>
      <c r="M63" s="1225"/>
      <c r="N63" s="1225"/>
      <c r="O63" s="1225"/>
      <c r="P63" s="1225"/>
    </row>
    <row r="64" spans="1:16" ht="12.75">
      <c r="A64" s="326">
        <v>1</v>
      </c>
      <c r="B64" s="327" t="s">
        <v>326</v>
      </c>
      <c r="C64" s="328">
        <f>ROUND((C65+C66)/(1+'数据-取费表'!F30),0)</f>
        <v>838</v>
      </c>
      <c r="D64" s="329"/>
      <c r="E64" s="330"/>
      <c r="F64" s="167"/>
      <c r="G64" s="167"/>
      <c r="H64" s="168"/>
      <c r="I64" s="1058"/>
      <c r="J64" s="3242" t="s">
        <v>2851</v>
      </c>
      <c r="K64" s="3035" t="s">
        <v>2852</v>
      </c>
      <c r="L64" s="3036" t="e">
        <f>IF(M50&gt;10000,M50*0.5%,IF(AND(M50&gt;1000,M50&lt;=10000),M50*1%,IF(AND(M50&gt;100,M50&lt;=1000),M50*3%,IF(AND(M50&gt;10,M50&lt;=100),M50*5%,M50*8%))))</f>
        <v>#VALUE!</v>
      </c>
      <c r="M64" s="197" t="e">
        <f>ROUND(L64,1)</f>
        <v>#VALUE!</v>
      </c>
      <c r="N64" s="1225"/>
      <c r="O64" s="1225"/>
      <c r="P64" s="1225"/>
    </row>
    <row r="65" spans="1:35" ht="12.75">
      <c r="A65" s="331" t="s">
        <v>228</v>
      </c>
      <c r="B65" s="332" t="s">
        <v>327</v>
      </c>
      <c r="C65" s="333">
        <f>D46</f>
        <v>880</v>
      </c>
      <c r="D65" s="334" t="s">
        <v>169</v>
      </c>
      <c r="E65" s="335"/>
      <c r="F65" s="167"/>
      <c r="G65" s="167"/>
      <c r="H65" s="168"/>
      <c r="I65" s="1058"/>
      <c r="J65" s="3242"/>
      <c r="K65" s="3035" t="s">
        <v>2853</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2854</v>
      </c>
      <c r="O65" s="1225"/>
      <c r="P65" s="1225"/>
    </row>
    <row r="66" spans="1:35" ht="12.75">
      <c r="A66" s="331" t="s">
        <v>229</v>
      </c>
      <c r="B66" s="332" t="s">
        <v>328</v>
      </c>
      <c r="C66" s="336"/>
      <c r="D66" s="334"/>
      <c r="E66" s="335"/>
      <c r="F66" s="167"/>
      <c r="G66" s="167"/>
      <c r="H66" s="168"/>
      <c r="I66" s="1058"/>
      <c r="J66" s="3242"/>
      <c r="K66" s="3035" t="s">
        <v>2855</v>
      </c>
      <c r="L66" s="3036" t="e">
        <f>IF(M50&gt;1000,M50*0.1%,IF(AND(M50&gt;500,M50&lt;=1000),M50*0.5%,IF(AND(M50&gt;50,M50&lt;=500),M50*1%,IF(AND(M50&gt;1,M50&lt;=50),M50*1.5%))))</f>
        <v>#VALUE!</v>
      </c>
      <c r="M66" s="197" t="e">
        <f t="shared" si="2"/>
        <v>#VALUE!</v>
      </c>
      <c r="N66" s="3037" t="s">
        <v>2861</v>
      </c>
      <c r="O66" s="1225"/>
      <c r="P66" s="1225"/>
    </row>
    <row r="67" spans="1:35" ht="12.75">
      <c r="A67" s="337" t="s">
        <v>177</v>
      </c>
      <c r="B67" s="338" t="s">
        <v>329</v>
      </c>
      <c r="C67" s="339"/>
      <c r="D67" s="340" t="s">
        <v>169</v>
      </c>
      <c r="E67" s="3063" t="s">
        <v>2895</v>
      </c>
      <c r="F67" s="167"/>
      <c r="G67" s="167"/>
      <c r="H67" s="168"/>
      <c r="I67" s="1058"/>
      <c r="J67" s="3242"/>
      <c r="K67" s="3035" t="s">
        <v>2856</v>
      </c>
      <c r="L67" s="3036" t="e">
        <f>M50*0.5%</f>
        <v>#VALUE!</v>
      </c>
      <c r="M67" s="197" t="e">
        <f>IF(L67&gt;0.5,0.5,ROUND(L67,0))</f>
        <v>#VALUE!</v>
      </c>
      <c r="N67" s="3037" t="s">
        <v>2862</v>
      </c>
      <c r="O67" s="1225"/>
      <c r="P67" s="1225"/>
    </row>
    <row r="68" spans="1:35" ht="12.75">
      <c r="A68" s="337" t="s">
        <v>170</v>
      </c>
      <c r="B68" s="338" t="s">
        <v>330</v>
      </c>
      <c r="C68" s="341">
        <f>C64-C67</f>
        <v>838</v>
      </c>
      <c r="D68" s="334" t="s">
        <v>169</v>
      </c>
      <c r="E68" s="335"/>
      <c r="F68" s="167"/>
      <c r="G68" s="167"/>
      <c r="H68" s="168"/>
      <c r="I68" s="1058"/>
      <c r="J68" s="3242"/>
      <c r="K68" s="3035" t="s">
        <v>2858</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5"/>
      <c r="O68" s="1225"/>
      <c r="P68" s="1225"/>
    </row>
    <row r="69" spans="1:35" ht="13.5" thickBot="1">
      <c r="A69" s="342" t="s">
        <v>176</v>
      </c>
      <c r="B69" s="343" t="s">
        <v>331</v>
      </c>
      <c r="C69" s="344">
        <f>IF(C68&lt;=0,0,ROUND(C68*D69,0))</f>
        <v>47</v>
      </c>
      <c r="D69" s="345">
        <f>'数据-取费表'!E29</f>
        <v>5.6000000000000001E-2</v>
      </c>
      <c r="E69" s="346"/>
      <c r="F69" s="167"/>
      <c r="G69" s="167"/>
      <c r="H69" s="168"/>
      <c r="I69" s="1058"/>
      <c r="J69" s="3242"/>
      <c r="K69" s="3035" t="s">
        <v>2859</v>
      </c>
      <c r="L69" s="3036" t="e">
        <f>IF(M50&gt;10000,M50*0.5%,IF(AND(M50&gt;5000,M50&lt;=10000),M50*1%,IF(AND(M50&gt;1000,M50&lt;=5000),M50*2%,IF(AND(M50&gt;200,M50&lt;=1000),M50*3%,M50*5%))))</f>
        <v>#VALUE!</v>
      </c>
      <c r="M69" s="197" t="e">
        <f>ROUND(L69,1)</f>
        <v>#VALUE!</v>
      </c>
      <c r="N69" s="1225"/>
      <c r="O69" s="1225"/>
      <c r="P69" s="1225"/>
    </row>
    <row r="70" spans="1:35" s="1060" customFormat="1" ht="7.5" customHeight="1">
      <c r="A70" s="1075"/>
      <c r="B70" s="1076"/>
      <c r="C70" s="1077"/>
      <c r="D70" s="1078"/>
      <c r="E70" s="1755"/>
      <c r="F70" s="167"/>
      <c r="G70" s="167"/>
      <c r="H70" s="168"/>
      <c r="I70" s="1058"/>
      <c r="J70" s="3242"/>
      <c r="K70" s="3035" t="s">
        <v>194</v>
      </c>
      <c r="L70" s="3038"/>
      <c r="M70" s="197" t="e">
        <f>ROUND(SUM(M64:M69),0)</f>
        <v>#VALUE!</v>
      </c>
      <c r="N70" s="3031" t="e">
        <f>M70/M50</f>
        <v>#VALUE!</v>
      </c>
      <c r="O70" s="1225"/>
      <c r="P70" s="1225"/>
      <c r="Q70" s="1258"/>
      <c r="R70" s="1258"/>
      <c r="S70" s="1258"/>
      <c r="T70" s="1258"/>
      <c r="U70" s="1258"/>
      <c r="V70" s="1258"/>
      <c r="W70" s="1258"/>
      <c r="X70" s="1258"/>
      <c r="Y70" s="1258"/>
      <c r="Z70" s="1258"/>
      <c r="AA70" s="1225"/>
      <c r="AB70" s="1225"/>
      <c r="AC70" s="1225"/>
      <c r="AD70" s="1225"/>
      <c r="AE70" s="1225"/>
      <c r="AF70" s="1225"/>
      <c r="AG70" s="1225"/>
      <c r="AH70" s="1225"/>
      <c r="AI70" s="1225"/>
    </row>
    <row r="71" spans="1:35" s="1080" customFormat="1" ht="14.25" thickBot="1">
      <c r="A71" s="3264" t="s">
        <v>332</v>
      </c>
      <c r="B71" s="3265"/>
      <c r="C71" s="3265"/>
      <c r="D71" s="3265"/>
      <c r="E71" s="3265"/>
      <c r="F71" s="3265"/>
      <c r="G71" s="3265"/>
      <c r="H71" s="3265"/>
      <c r="I71" s="1079"/>
      <c r="J71" s="2124"/>
      <c r="K71" s="2124"/>
      <c r="L71" s="2124"/>
      <c r="M71" s="2124"/>
      <c r="N71" s="2124"/>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262" t="s">
        <v>325</v>
      </c>
      <c r="B72" s="3263"/>
      <c r="C72" s="2037"/>
      <c r="D72" s="2037" t="s">
        <v>333</v>
      </c>
      <c r="E72" s="347" t="s">
        <v>334</v>
      </c>
      <c r="F72" s="348"/>
      <c r="G72" s="348"/>
      <c r="H72" s="349"/>
      <c r="I72" s="1081"/>
      <c r="J72" s="2124"/>
      <c r="K72" s="2124"/>
      <c r="L72" s="2124"/>
      <c r="M72" s="2124"/>
      <c r="N72" s="2124"/>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0">
        <v>1</v>
      </c>
      <c r="B73" s="338" t="s">
        <v>335</v>
      </c>
      <c r="C73" s="341">
        <f>ROUND(D46/(1+'数据-取费表'!F30),0)</f>
        <v>838</v>
      </c>
      <c r="D73" s="334" t="s">
        <v>169</v>
      </c>
      <c r="E73" s="2034"/>
      <c r="F73" s="2033"/>
      <c r="G73" s="2033"/>
      <c r="H73" s="351"/>
      <c r="I73" s="1081"/>
      <c r="J73" s="2124"/>
      <c r="K73" s="2124"/>
      <c r="L73" s="2124"/>
      <c r="M73" s="2124"/>
      <c r="N73" s="2124"/>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14.25">
      <c r="A74" s="352">
        <v>2</v>
      </c>
      <c r="B74" s="306" t="s">
        <v>336</v>
      </c>
      <c r="C74" s="341">
        <f>C75+C79</f>
        <v>5</v>
      </c>
      <c r="D74" s="334" t="s">
        <v>169</v>
      </c>
      <c r="E74" s="2034"/>
      <c r="F74" s="2033"/>
      <c r="G74" s="2033"/>
      <c r="H74" s="351"/>
      <c r="I74" s="1081"/>
      <c r="J74" s="2124"/>
      <c r="K74" s="2124"/>
      <c r="L74" s="2124"/>
      <c r="M74" s="2124"/>
      <c r="N74" s="2124"/>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4.25">
      <c r="A75" s="353" t="s">
        <v>230</v>
      </c>
      <c r="B75" s="332" t="s">
        <v>337</v>
      </c>
      <c r="C75" s="334">
        <f>ROUND(IF(G78="2016年5月1日后购买",C76/(1+'数据-取费表'!F30)+C77+C78,C76+C77+C78),0)</f>
        <v>0</v>
      </c>
      <c r="D75" s="334" t="s">
        <v>169</v>
      </c>
      <c r="E75" s="2034"/>
      <c r="F75" s="2033"/>
      <c r="G75" s="2033"/>
      <c r="H75" s="351"/>
      <c r="I75" s="1081"/>
      <c r="J75" s="2124"/>
      <c r="K75" s="2124"/>
      <c r="L75" s="2124"/>
      <c r="M75" s="2124"/>
      <c r="N75" s="2124"/>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13.5">
      <c r="A76" s="353" t="s">
        <v>231</v>
      </c>
      <c r="B76" s="332" t="s">
        <v>338</v>
      </c>
      <c r="C76" s="354"/>
      <c r="D76" s="334" t="s">
        <v>169</v>
      </c>
      <c r="E76" s="355" t="s">
        <v>339</v>
      </c>
      <c r="F76" s="1214" t="s">
        <v>1049</v>
      </c>
      <c r="G76" s="355" t="s">
        <v>709</v>
      </c>
      <c r="H76" s="356"/>
      <c r="I76" s="1023"/>
      <c r="J76" s="2124"/>
      <c r="K76" s="2124"/>
      <c r="L76" s="2124"/>
      <c r="M76" s="2124"/>
      <c r="N76" s="2124"/>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232</v>
      </c>
      <c r="B77" s="357" t="s">
        <v>340</v>
      </c>
      <c r="C77" s="334">
        <f>IF(F76="购房发票",ROUND(C76*H76*D77,0),0)</f>
        <v>0</v>
      </c>
      <c r="D77" s="358">
        <v>0.05</v>
      </c>
      <c r="E77" s="3301" t="s">
        <v>341</v>
      </c>
      <c r="F77" s="3302"/>
      <c r="G77" s="3302"/>
      <c r="H77" s="3303"/>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233</v>
      </c>
      <c r="B78" s="332" t="s">
        <v>342</v>
      </c>
      <c r="C78" s="334">
        <f>ROUND(IF(G78="个人住宅",0,IF(G78="2016年5月1日前购买",C76*D78,C76*D78/(1+'数据-取费表'!F30))),0)</f>
        <v>0</v>
      </c>
      <c r="D78" s="359">
        <f>'数据-取费表'!E36+'数据-取费表'!E37</f>
        <v>3.0499999999999999E-2</v>
      </c>
      <c r="E78" s="195" t="s">
        <v>710</v>
      </c>
      <c r="F78" s="360"/>
      <c r="G78" s="1215" t="s">
        <v>2424</v>
      </c>
      <c r="H78" s="2038" t="str">
        <f>IF(G78="个人买卖住房","免征印花税"," ")</f>
        <v xml:space="preserve"> </v>
      </c>
      <c r="I78" s="1081"/>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24.75" customHeight="1">
      <c r="A79" s="353" t="s">
        <v>234</v>
      </c>
      <c r="B79" s="332" t="s">
        <v>343</v>
      </c>
      <c r="C79" s="361">
        <f>ROUND(D46*D79/(1+'数据-取费表'!F30),0)</f>
        <v>5</v>
      </c>
      <c r="D79" s="362">
        <f>'数据-取费表'!E31</f>
        <v>6.000000000000001E-3</v>
      </c>
      <c r="E79" s="3252" t="s">
        <v>2425</v>
      </c>
      <c r="F79" s="3229"/>
      <c r="G79" s="3229"/>
      <c r="H79" s="3251"/>
      <c r="I79" s="1082"/>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14.25">
      <c r="A80" s="363" t="s">
        <v>170</v>
      </c>
      <c r="B80" s="338" t="s">
        <v>344</v>
      </c>
      <c r="C80" s="341">
        <f>C73-C74</f>
        <v>833</v>
      </c>
      <c r="D80" s="334" t="s">
        <v>169</v>
      </c>
      <c r="E80" s="2034"/>
      <c r="F80" s="2033"/>
      <c r="G80" s="2033"/>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14.25">
      <c r="A81" s="363" t="s">
        <v>171</v>
      </c>
      <c r="B81" s="338" t="s">
        <v>345</v>
      </c>
      <c r="C81" s="364">
        <f>IF(C80&lt;=0,0,C80/C74)</f>
        <v>166.6</v>
      </c>
      <c r="D81" s="334" t="s">
        <v>169</v>
      </c>
      <c r="E81" s="195" t="str">
        <f>IF(C81&gt;=200%,"增值额超过扣除项目金额200%",IF(C81&gt;=100%,"增值额超过扣除项目金额100%，未超过200%",IF(C81&gt;=50%,"增值额超过扣除项目金额50%，未超过100%",IF(C81&lt;50%,"增值额未超过扣除项目金额50%"))))</f>
        <v>增值额超过扣除项目金额200%</v>
      </c>
      <c r="F81" s="2033"/>
      <c r="G81" s="2033"/>
      <c r="H81" s="351"/>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15" thickBot="1">
      <c r="A82" s="365" t="s">
        <v>172</v>
      </c>
      <c r="B82" s="343" t="s">
        <v>346</v>
      </c>
      <c r="C82" s="366">
        <f>ROUND(IF(C80&lt;=0,0,IF(C81&gt;=200%,C80*60%-C74*35%,IF(C81&gt;=100%,C80*50%-C74*15%,IF(C81&gt;=50%,C80*40%-C74*5%,IF(C81&lt;50%,C80*30%,0))))),0)</f>
        <v>498</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9"/>
      <c r="G82" s="369"/>
      <c r="H82" s="370"/>
      <c r="I82" s="1081"/>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7.5" customHeight="1">
      <c r="A83" s="1047"/>
      <c r="B83" s="1048"/>
      <c r="C83" s="191"/>
      <c r="D83" s="191"/>
      <c r="E83" s="1048"/>
      <c r="F83" s="1048"/>
      <c r="G83" s="1048"/>
      <c r="H83" s="1049"/>
      <c r="I83" s="1082"/>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4.25" thickBot="1">
      <c r="A84" s="3264" t="s">
        <v>347</v>
      </c>
      <c r="B84" s="3265"/>
      <c r="C84" s="3265"/>
      <c r="D84" s="3265"/>
      <c r="E84" s="3265"/>
      <c r="F84" s="3265"/>
      <c r="G84" s="3265"/>
      <c r="H84" s="3265"/>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13.5">
      <c r="A85" s="3262" t="s">
        <v>325</v>
      </c>
      <c r="B85" s="3263"/>
      <c r="C85" s="2037"/>
      <c r="D85" s="2037" t="s">
        <v>333</v>
      </c>
      <c r="E85" s="347" t="s">
        <v>334</v>
      </c>
      <c r="F85" s="348"/>
      <c r="G85" s="348"/>
      <c r="H85" s="371"/>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0">
        <v>1</v>
      </c>
      <c r="B86" s="338" t="s">
        <v>335</v>
      </c>
      <c r="C86" s="341">
        <f>ROUND(D46/(1+'数据-取费表'!F30),0)</f>
        <v>838</v>
      </c>
      <c r="D86" s="334" t="s">
        <v>169</v>
      </c>
      <c r="E86" s="2034"/>
      <c r="F86" s="2033"/>
      <c r="G86" s="2033"/>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2">
        <v>2</v>
      </c>
      <c r="B87" s="306" t="s">
        <v>336</v>
      </c>
      <c r="C87" s="341">
        <f>IF(H89="仅含出让金",C88+C91+C92+C93+C94+C95,C88+C92+C93+C94+C95)</f>
        <v>5</v>
      </c>
      <c r="D87" s="373"/>
      <c r="E87" s="2034"/>
      <c r="F87" s="2033"/>
      <c r="G87" s="2033"/>
      <c r="H87" s="372"/>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230</v>
      </c>
      <c r="B88" s="332" t="s">
        <v>348</v>
      </c>
      <c r="C88" s="361">
        <f>C89+C90</f>
        <v>0</v>
      </c>
      <c r="D88" s="362"/>
      <c r="E88" s="2030"/>
      <c r="F88" s="2031"/>
      <c r="G88" s="2031"/>
      <c r="H88" s="2032"/>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231</v>
      </c>
      <c r="B89" s="332" t="s">
        <v>349</v>
      </c>
      <c r="C89" s="374"/>
      <c r="D89" s="362"/>
      <c r="E89" s="375" t="s">
        <v>350</v>
      </c>
      <c r="F89" s="2031"/>
      <c r="G89" s="376" t="s">
        <v>351</v>
      </c>
      <c r="H89" s="1216"/>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232</v>
      </c>
      <c r="B90" s="332" t="s">
        <v>342</v>
      </c>
      <c r="C90" s="361">
        <f>ROUND(C89*D90,0)</f>
        <v>0</v>
      </c>
      <c r="D90" s="362">
        <f>'数据-取费表'!E36+'数据-取费表'!E37</f>
        <v>3.0499999999999999E-2</v>
      </c>
      <c r="E90" s="375" t="s">
        <v>352</v>
      </c>
      <c r="F90" s="2031"/>
      <c r="G90" s="2031"/>
      <c r="H90" s="2032"/>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13.5">
      <c r="A91" s="353" t="s">
        <v>234</v>
      </c>
      <c r="B91" s="332" t="s">
        <v>353</v>
      </c>
      <c r="C91" s="374"/>
      <c r="D91" s="362"/>
      <c r="E91" s="375" t="str">
        <f>IF(H89="-","土地取得成本中已包含该笔费用"," ")</f>
        <v xml:space="preserve"> </v>
      </c>
      <c r="F91" s="2031"/>
      <c r="G91" s="2031"/>
      <c r="H91" s="2032"/>
      <c r="I91" s="1023"/>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30.75" customHeight="1">
      <c r="A92" s="353" t="s">
        <v>235</v>
      </c>
      <c r="B92" s="332" t="s">
        <v>354</v>
      </c>
      <c r="C92" s="361">
        <f>IF(H92="——",成本法!C33,I92)</f>
        <v>0</v>
      </c>
      <c r="D92" s="362"/>
      <c r="E92" s="3228" t="s">
        <v>711</v>
      </c>
      <c r="F92" s="3229"/>
      <c r="G92" s="3229"/>
      <c r="H92" s="1217" t="s">
        <v>2205</v>
      </c>
      <c r="I92" s="2014"/>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236</v>
      </c>
      <c r="B93" s="332" t="s">
        <v>355</v>
      </c>
      <c r="C93" s="361">
        <f>ROUND((C88+C91+C92)*D93,0)</f>
        <v>0</v>
      </c>
      <c r="D93" s="362">
        <v>0.1</v>
      </c>
      <c r="E93" s="3228" t="s">
        <v>356</v>
      </c>
      <c r="F93" s="3229"/>
      <c r="G93" s="3229"/>
      <c r="H93" s="3251"/>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237</v>
      </c>
      <c r="B94" s="332" t="s">
        <v>343</v>
      </c>
      <c r="C94" s="361">
        <f>ROUND(D46*D94/(1+'数据-取费表'!F30),0)</f>
        <v>5</v>
      </c>
      <c r="D94" s="362">
        <f>'数据-取费表'!E31</f>
        <v>6.000000000000001E-3</v>
      </c>
      <c r="E94" s="3252" t="s">
        <v>2425</v>
      </c>
      <c r="F94" s="3229"/>
      <c r="G94" s="3229"/>
      <c r="H94" s="3251"/>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25.5" customHeight="1">
      <c r="A95" s="353" t="s">
        <v>238</v>
      </c>
      <c r="B95" s="332" t="s">
        <v>357</v>
      </c>
      <c r="C95" s="361">
        <f>ROUND((C88+C91+C92)*D95,0)</f>
        <v>0</v>
      </c>
      <c r="D95" s="362">
        <v>0.2</v>
      </c>
      <c r="E95" s="3228" t="s">
        <v>358</v>
      </c>
      <c r="F95" s="3229"/>
      <c r="G95" s="3229"/>
      <c r="H95" s="3251"/>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13.5">
      <c r="A96" s="363" t="s">
        <v>170</v>
      </c>
      <c r="B96" s="338" t="s">
        <v>344</v>
      </c>
      <c r="C96" s="341">
        <f>ROUND(C86-C87,0)</f>
        <v>833</v>
      </c>
      <c r="D96" s="334" t="s">
        <v>169</v>
      </c>
      <c r="E96" s="2034"/>
      <c r="F96" s="2033"/>
      <c r="G96" s="2033"/>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13.5">
      <c r="A97" s="363" t="s">
        <v>171</v>
      </c>
      <c r="B97" s="338" t="s">
        <v>345</v>
      </c>
      <c r="C97" s="364">
        <f>IF(C96&lt;=0,0,C96/C87)</f>
        <v>166.6</v>
      </c>
      <c r="D97" s="334" t="s">
        <v>169</v>
      </c>
      <c r="E97" s="195" t="str">
        <f>IF(C97&gt;=200%,"增值额超过扣除项目金额200%",IF(C97&gt;=100%,"增值额超过扣除项目金额100%，未超过200%",IF(C97&gt;=50%,"增值额超过扣除项目金额50%，未超过100%",IF(C97&lt;50%,"增值额未超过扣除项目金额50%"))))</f>
        <v>增值额超过扣除项目金额200%</v>
      </c>
      <c r="F97" s="2033"/>
      <c r="G97" s="2033"/>
      <c r="H97" s="372"/>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s="1080" customFormat="1" ht="14.25" thickBot="1">
      <c r="A98" s="365" t="s">
        <v>172</v>
      </c>
      <c r="B98" s="343" t="s">
        <v>346</v>
      </c>
      <c r="C98" s="366">
        <f>ROUND(IF(C96&lt;=0,0,IF(C97&gt;=200%,C96*60%-C87*35%,IF(C97&gt;=100%,C96*50%-C87*15%,IF(C97&gt;=50%,C96*40%-C87*5%,IF(C97&lt;50%,C96*30%,0))))),0)</f>
        <v>498</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9"/>
      <c r="G98" s="369"/>
      <c r="H98" s="377"/>
      <c r="I98" s="1023"/>
      <c r="J98" s="2124"/>
      <c r="K98" s="2124"/>
      <c r="L98" s="2124"/>
      <c r="M98" s="2124"/>
      <c r="N98" s="2124"/>
      <c r="O98" s="2124"/>
      <c r="P98" s="2124"/>
      <c r="Q98" s="2124"/>
      <c r="R98" s="2124"/>
      <c r="S98" s="2124"/>
      <c r="T98" s="2124"/>
      <c r="U98" s="2124"/>
      <c r="V98" s="2124"/>
      <c r="W98" s="2124"/>
      <c r="X98" s="2124"/>
      <c r="Y98" s="2124"/>
      <c r="Z98" s="2124"/>
      <c r="AA98" s="1247"/>
      <c r="AB98" s="1247"/>
      <c r="AC98" s="1247"/>
      <c r="AD98" s="1247"/>
      <c r="AE98" s="1247"/>
      <c r="AF98" s="1247"/>
      <c r="AG98" s="1247"/>
      <c r="AH98" s="1247"/>
      <c r="AI98" s="1247"/>
    </row>
    <row r="99" spans="1:35" ht="21.75" customHeight="1" thickBot="1">
      <c r="A99" s="1066" t="s">
        <v>240</v>
      </c>
      <c r="B99" s="1058"/>
      <c r="C99" s="1058"/>
      <c r="D99" s="1058"/>
      <c r="E99" s="167"/>
      <c r="F99" s="167"/>
      <c r="G99" s="167"/>
      <c r="H99" s="168"/>
      <c r="I99" s="1058"/>
    </row>
    <row r="100" spans="1:35" ht="14.25">
      <c r="A100" s="3248" t="s">
        <v>241</v>
      </c>
      <c r="B100" s="3249"/>
      <c r="C100" s="3249"/>
      <c r="D100" s="3250"/>
      <c r="E100" s="1058"/>
      <c r="F100" s="3259" t="s">
        <v>2766</v>
      </c>
      <c r="G100" s="3260"/>
      <c r="H100" s="3260"/>
      <c r="I100" s="3261"/>
    </row>
    <row r="101" spans="1:35" ht="14.25">
      <c r="A101" s="3266" t="s">
        <v>212</v>
      </c>
      <c r="B101" s="3267"/>
      <c r="C101" s="1083" t="str">
        <f>C4</f>
        <v>比较法-住宅</v>
      </c>
      <c r="D101" s="1084" t="str">
        <f>D4</f>
        <v>收益法</v>
      </c>
      <c r="E101" s="1058"/>
      <c r="F101" s="3268" t="s">
        <v>1863</v>
      </c>
      <c r="G101" s="3270"/>
      <c r="H101" s="3362" t="s">
        <v>1970</v>
      </c>
      <c r="I101" s="3269"/>
    </row>
    <row r="102" spans="1:35" ht="15.75">
      <c r="A102" s="3363" t="s">
        <v>2222</v>
      </c>
      <c r="B102" s="1677" t="str">
        <f>IF(H19="元","总价（元）","总价（万元）")</f>
        <v>总价（万元）</v>
      </c>
      <c r="C102" s="1050">
        <f ca="1">C19</f>
        <v>1426</v>
      </c>
      <c r="D102" s="1051">
        <f ca="1">D19</f>
        <v>1125</v>
      </c>
      <c r="E102" s="1058"/>
      <c r="F102" s="3364"/>
      <c r="G102" s="3365"/>
      <c r="H102" s="3337">
        <f>典型户型修正!B25</f>
        <v>162.61000000000001</v>
      </c>
      <c r="I102" s="3338"/>
    </row>
    <row r="103" spans="1:35" ht="15.75">
      <c r="A103" s="3363"/>
      <c r="B103" s="1677" t="s">
        <v>1861</v>
      </c>
      <c r="C103" s="1052">
        <f ca="1">C20</f>
        <v>55805</v>
      </c>
      <c r="D103" s="1053">
        <f ca="1">D20</f>
        <v>44038</v>
      </c>
      <c r="E103" s="1058"/>
      <c r="F103" s="3354" t="s">
        <v>1869</v>
      </c>
      <c r="G103" s="3355"/>
      <c r="H103" s="1879" t="str">
        <f>C109</f>
        <v>总价（万元）</v>
      </c>
      <c r="I103" s="3069">
        <f>H124</f>
        <v>880</v>
      </c>
    </row>
    <row r="104" spans="1:35" ht="15">
      <c r="A104" s="3363" t="s">
        <v>2223</v>
      </c>
      <c r="B104" s="1678" t="str">
        <f>B102</f>
        <v>总价（万元）</v>
      </c>
      <c r="C104" s="2046">
        <f ca="1">ROUND(IF('数据-取费表'!B4="总价",G19,IF(H19="元",G20*'数据-取费表'!E5,G20*'数据-取费表'!E5/10000)),0)</f>
        <v>1276</v>
      </c>
      <c r="D104" s="1055"/>
      <c r="E104" s="1058"/>
      <c r="F104" s="3354"/>
      <c r="G104" s="3355"/>
      <c r="H104" s="1879" t="s">
        <v>1861</v>
      </c>
      <c r="I104" s="1765">
        <f>I124</f>
        <v>54117</v>
      </c>
    </row>
    <row r="105" spans="1:35" ht="15">
      <c r="A105" s="3363"/>
      <c r="B105" s="1677" t="s">
        <v>1861</v>
      </c>
      <c r="C105" s="2049" t="e">
        <f ca="1">ROUND(IF('数据-取费表'!B4="楼面单价",G20,IF(H19="元",G19/'数据-取费表'!E5,G19*10000/'数据-取费表'!E5)),0)</f>
        <v>#DIV/0!</v>
      </c>
      <c r="D105" s="1055"/>
      <c r="E105" s="1058"/>
      <c r="F105" s="3255"/>
      <c r="G105" s="3256"/>
      <c r="H105" s="3290"/>
      <c r="I105" s="3291"/>
    </row>
    <row r="106" spans="1:35" ht="15.75">
      <c r="A106" s="3370" t="s">
        <v>2220</v>
      </c>
      <c r="B106" s="2044" t="str">
        <f>B102</f>
        <v>总价（万元）</v>
      </c>
      <c r="C106" s="1054">
        <f>H124</f>
        <v>880</v>
      </c>
      <c r="D106" s="2045"/>
      <c r="E106" s="1058"/>
      <c r="F106" s="3294" t="s">
        <v>1965</v>
      </c>
      <c r="G106" s="3295"/>
      <c r="H106" s="1880" t="str">
        <f>C111</f>
        <v>总额（万元）</v>
      </c>
      <c r="I106" s="3069">
        <f>SUMIF(I107:I109,"&lt;9E307")</f>
        <v>0</v>
      </c>
    </row>
    <row r="107" spans="1:35" ht="15.75" thickBot="1">
      <c r="A107" s="3289"/>
      <c r="B107" s="1679" t="s">
        <v>1861</v>
      </c>
      <c r="C107" s="1056">
        <f>I124</f>
        <v>54117</v>
      </c>
      <c r="D107" s="1057"/>
      <c r="E107" s="1058"/>
      <c r="F107" s="3257" t="s">
        <v>1866</v>
      </c>
      <c r="G107" s="3258"/>
      <c r="H107" s="1880" t="str">
        <f>C112</f>
        <v>总额（万元）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6" t="s">
        <v>2765</v>
      </c>
      <c r="B108" s="3367"/>
      <c r="C108" s="3367"/>
      <c r="D108" s="3368"/>
      <c r="E108" s="1058"/>
      <c r="F108" s="3257" t="s">
        <v>1867</v>
      </c>
      <c r="G108" s="3258"/>
      <c r="H108" s="1880" t="str">
        <f>C113</f>
        <v>总额（万元）</v>
      </c>
      <c r="I108" s="1765">
        <f>C38</f>
        <v>0</v>
      </c>
      <c r="K108" s="2125"/>
    </row>
    <row r="109" spans="1:35" ht="15">
      <c r="A109" s="3296" t="s">
        <v>1870</v>
      </c>
      <c r="B109" s="3297"/>
      <c r="C109" s="1879" t="str">
        <f>B102</f>
        <v>总价（万元）</v>
      </c>
      <c r="D109" s="1766">
        <f>H124</f>
        <v>880</v>
      </c>
      <c r="E109" s="1058"/>
      <c r="F109" s="3257" t="s">
        <v>1868</v>
      </c>
      <c r="G109" s="3258"/>
      <c r="H109" s="1880" t="str">
        <f>C114</f>
        <v>总额（万元）</v>
      </c>
      <c r="I109" s="1765">
        <f>C39</f>
        <v>0</v>
      </c>
    </row>
    <row r="110" spans="1:35" ht="14.25">
      <c r="A110" s="3296"/>
      <c r="B110" s="3297"/>
      <c r="C110" s="1879" t="s">
        <v>1861</v>
      </c>
      <c r="D110" s="1767">
        <f>I124</f>
        <v>54117</v>
      </c>
      <c r="E110" s="1058"/>
      <c r="F110" s="3255"/>
      <c r="G110" s="3256"/>
      <c r="H110" s="3292"/>
      <c r="I110" s="3293"/>
    </row>
    <row r="111" spans="1:35" ht="28.5" customHeight="1">
      <c r="A111" s="3350" t="s">
        <v>1965</v>
      </c>
      <c r="B111" s="3351"/>
      <c r="C111" s="1880" t="str">
        <f>IF(H19="元","总额（元）","总额（万元）")</f>
        <v>总额（万元）</v>
      </c>
      <c r="D111" s="1766">
        <f>IF(D37="正常操作",I107+I108+I109,I108+I109)</f>
        <v>0</v>
      </c>
      <c r="E111" s="1058"/>
      <c r="F111" s="3235" t="str">
        <f>IF(项目基本情况!F5="已注销","——","3.房地产抵押价值")</f>
        <v>3.房地产抵押价值</v>
      </c>
      <c r="G111" s="3236"/>
      <c r="H111" s="3080" t="str">
        <f>C115</f>
        <v>总价（万元）</v>
      </c>
      <c r="I111" s="3069">
        <f>IF(F111="——","——",I103-I106)</f>
        <v>880</v>
      </c>
    </row>
    <row r="112" spans="1:35" ht="14.25">
      <c r="A112" s="3257" t="s">
        <v>1866</v>
      </c>
      <c r="B112" s="3258"/>
      <c r="C112" s="1880" t="str">
        <f>C111</f>
        <v>总额（万元）</v>
      </c>
      <c r="D112" s="855">
        <f>IF(D37="同一抵押权人同一抵押物续贷",C37&amp;"（未扣减，详见特别提示）",C37)</f>
        <v>0</v>
      </c>
      <c r="E112" s="1058"/>
      <c r="F112" s="3237"/>
      <c r="G112" s="3238"/>
      <c r="H112" s="1879" t="s">
        <v>1861</v>
      </c>
      <c r="I112" s="3077">
        <f>D116</f>
        <v>54117</v>
      </c>
    </row>
    <row r="113" spans="1:26" ht="15.75">
      <c r="A113" s="3257" t="s">
        <v>1867</v>
      </c>
      <c r="B113" s="3258"/>
      <c r="C113" s="1880" t="str">
        <f>C111</f>
        <v>总额（万元）</v>
      </c>
      <c r="D113" s="855">
        <f>C38</f>
        <v>0</v>
      </c>
      <c r="E113" s="1058"/>
      <c r="F113" s="3235" t="str">
        <f>IF(项目基本情况!F5="已注销及未注销","4.抵押担保权已注销时的房地产抵押价值",IF(项目基本情况!F5="已注销","3.抵押担保权已注销时的房地产抵押价值","——"))</f>
        <v>——</v>
      </c>
      <c r="G113" s="3236"/>
      <c r="H113" s="3080" t="str">
        <f>C117</f>
        <v>总价（万元）</v>
      </c>
      <c r="I113" s="3069" t="str">
        <f>IF(F113="——","——",I103-I108-I109)</f>
        <v>——</v>
      </c>
    </row>
    <row r="114" spans="1:26" ht="14.25">
      <c r="A114" s="3257" t="s">
        <v>1868</v>
      </c>
      <c r="B114" s="3258"/>
      <c r="C114" s="1880" t="str">
        <f>C111</f>
        <v>总额（万元）</v>
      </c>
      <c r="D114" s="855">
        <f>C39</f>
        <v>0</v>
      </c>
      <c r="E114" s="1058"/>
      <c r="F114" s="3237"/>
      <c r="G114" s="3238"/>
      <c r="H114" s="1879" t="s">
        <v>1861</v>
      </c>
      <c r="I114" s="3070" t="str">
        <f>D118</f>
        <v>——</v>
      </c>
    </row>
    <row r="115" spans="1:26" ht="15.75">
      <c r="A115" s="3296" t="str">
        <f>IF(项目基本情况!F5="已注销","——","3.房地产抵押价值")</f>
        <v>3.房地产抵押价值</v>
      </c>
      <c r="B115" s="3297"/>
      <c r="C115" s="1879" t="str">
        <f>B102</f>
        <v>总价（万元）</v>
      </c>
      <c r="D115" s="1766">
        <f>IF(A115="——","——",D109-D111)</f>
        <v>880</v>
      </c>
      <c r="E115" s="1058"/>
      <c r="F115" s="3235" t="str">
        <f>IF(项目基本情况!G5="抵押净值",IF(OR(项目基本情况!F5="已注销",项目基本情况!F5="房地产抵押价值"),"4.抵押净值","5.抵押净值"),"——")</f>
        <v>——</v>
      </c>
      <c r="G115" s="3236"/>
      <c r="H115" s="1879" t="str">
        <f>C119</f>
        <v>总价（万元）</v>
      </c>
      <c r="I115" s="3069" t="str">
        <f>IF(F115="——","——",N60)</f>
        <v>——</v>
      </c>
    </row>
    <row r="116" spans="1:26" ht="15.75" thickBot="1">
      <c r="A116" s="3296"/>
      <c r="B116" s="3297"/>
      <c r="C116" s="1879" t="s">
        <v>1861</v>
      </c>
      <c r="D116" s="1767">
        <f>ROUND(IF(D115=D109,D110,IF(H19="元",D115/B124,D115*10000/B124)),0)</f>
        <v>54117</v>
      </c>
      <c r="E116" s="1058"/>
      <c r="F116" s="3339"/>
      <c r="G116" s="3340"/>
      <c r="H116" s="1881" t="s">
        <v>1861</v>
      </c>
      <c r="I116" s="3079" t="str">
        <f>D120</f>
        <v>——</v>
      </c>
    </row>
    <row r="117" spans="1:26" ht="15">
      <c r="A117" s="3296" t="str">
        <f>IF(项目基本情况!F5="已注销及未注销","4.抵押担保权已注销时的房地产抵押价值",IF(项目基本情况!F5="已注销","3.抵押担保权已注销时的房地产抵押价值","——"))</f>
        <v>——</v>
      </c>
      <c r="B117" s="3297"/>
      <c r="C117" s="1879" t="str">
        <f>B102</f>
        <v>总价（万元）</v>
      </c>
      <c r="D117" s="1766" t="str">
        <f>IF(A117="——","——",D109-D113-D114)</f>
        <v>——</v>
      </c>
      <c r="E117" s="1058"/>
      <c r="F117" s="3230"/>
      <c r="G117" s="3230"/>
      <c r="H117" s="3275"/>
      <c r="I117" s="3275"/>
      <c r="N117" s="1890"/>
      <c r="O117" s="1890"/>
    </row>
    <row r="118" spans="1:26" s="1225" customFormat="1" ht="14.25">
      <c r="A118" s="3296"/>
      <c r="B118" s="3297"/>
      <c r="C118" s="1879" t="s">
        <v>1861</v>
      </c>
      <c r="D118" s="1767" t="str">
        <f>IF(A117="——","——",IF(H19="元",ROUND(D117/B124,0),ROUND(D117*10000/B124,0)))</f>
        <v>——</v>
      </c>
      <c r="E118" s="1058"/>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8"/>
      <c r="K118" s="1258"/>
      <c r="L118" s="1258"/>
      <c r="M118" s="1258"/>
      <c r="N118" s="1890"/>
      <c r="O118" s="1890"/>
      <c r="P118" s="1258"/>
      <c r="Q118" s="1258"/>
      <c r="R118" s="1258"/>
      <c r="S118" s="1258"/>
      <c r="T118" s="1258"/>
      <c r="U118" s="1258"/>
      <c r="V118" s="1258"/>
      <c r="W118" s="1258"/>
      <c r="X118" s="1258"/>
      <c r="Y118" s="1258"/>
      <c r="Z118" s="1258"/>
    </row>
    <row r="119" spans="1:26" s="1225" customFormat="1" ht="15">
      <c r="A119" s="3296" t="str">
        <f>IF(项目基本情况!G5="抵押净值",IF(OR(项目基本情况!F5="已注销",项目基本情况!F5="房地产抵押价值"),"4.抵押净值","5.抵押净值"),"——")</f>
        <v>——</v>
      </c>
      <c r="B119" s="3297"/>
      <c r="C119" s="1879" t="str">
        <f>B102</f>
        <v>总价（万元）</v>
      </c>
      <c r="D119" s="1766" t="str">
        <f>IF(A119="——","——",N60)</f>
        <v>——</v>
      </c>
      <c r="E119" s="1058"/>
      <c r="F119" s="2043"/>
      <c r="G119" s="2043"/>
      <c r="H119" s="2043"/>
      <c r="I119" s="2043"/>
      <c r="J119" s="1258"/>
      <c r="K119" s="1258"/>
      <c r="L119" s="1258"/>
      <c r="M119" s="1258"/>
      <c r="N119" s="1890"/>
      <c r="O119" s="1890"/>
      <c r="P119" s="1258"/>
      <c r="Q119" s="1258"/>
      <c r="R119" s="1258"/>
      <c r="S119" s="1258"/>
      <c r="T119" s="1258"/>
      <c r="U119" s="1258"/>
      <c r="V119" s="1258"/>
      <c r="W119" s="1258"/>
      <c r="X119" s="1258"/>
      <c r="Y119" s="1258"/>
      <c r="Z119" s="1258"/>
    </row>
    <row r="120" spans="1:26" s="1225" customFormat="1" ht="15" thickBot="1">
      <c r="A120" s="3348"/>
      <c r="B120" s="3349"/>
      <c r="C120" s="1881" t="s">
        <v>1861</v>
      </c>
      <c r="D120" s="1768" t="str">
        <f>IF(D119=D109,D110,IF(A119="——","——",N62))</f>
        <v>——</v>
      </c>
      <c r="E120" s="1058"/>
      <c r="F120" s="2043"/>
      <c r="G120" s="2043"/>
      <c r="H120" s="2043"/>
      <c r="I120" s="2043"/>
      <c r="J120" s="1258"/>
      <c r="K120" s="1258"/>
      <c r="L120" s="1258"/>
      <c r="M120" s="1258"/>
      <c r="N120" s="1890"/>
      <c r="O120" s="1890"/>
      <c r="P120" s="1258"/>
      <c r="Q120" s="1258"/>
      <c r="R120" s="1258"/>
      <c r="S120" s="1258"/>
      <c r="T120" s="1258"/>
      <c r="U120" s="1258"/>
      <c r="V120" s="1258"/>
      <c r="W120" s="1258"/>
      <c r="X120" s="1258"/>
      <c r="Y120" s="1258"/>
      <c r="Z120" s="1258"/>
    </row>
    <row r="121" spans="1:26" s="1225" customFormat="1" ht="13.5">
      <c r="A121" s="3276" t="s">
        <v>2896</v>
      </c>
      <c r="B121" s="3277"/>
      <c r="C121" s="3277"/>
      <c r="D121" s="3277"/>
      <c r="E121" s="3277"/>
      <c r="F121" s="3277"/>
      <c r="G121" s="3277"/>
      <c r="H121" s="3277"/>
      <c r="I121" s="3277"/>
      <c r="J121" s="1258"/>
      <c r="K121" s="1258"/>
      <c r="L121" s="1258"/>
      <c r="M121" s="1258"/>
      <c r="N121" s="1258"/>
      <c r="O121" s="1258"/>
      <c r="P121" s="1258"/>
      <c r="Q121" s="1258"/>
      <c r="R121" s="1258"/>
      <c r="S121" s="1258"/>
      <c r="T121" s="1258"/>
      <c r="U121" s="1258"/>
      <c r="V121" s="1258"/>
      <c r="W121" s="1258"/>
      <c r="X121" s="1258"/>
      <c r="Y121" s="1258"/>
      <c r="Z121" s="1258"/>
    </row>
    <row r="122" spans="1:26" s="1225" customFormat="1" ht="13.5">
      <c r="A122" s="3247" t="s">
        <v>3</v>
      </c>
      <c r="B122" s="3245" t="s">
        <v>1890</v>
      </c>
      <c r="C122" s="3245" t="s">
        <v>701</v>
      </c>
      <c r="D122" s="3253" t="s">
        <v>211</v>
      </c>
      <c r="E122" s="3254"/>
      <c r="F122" s="3243" t="s">
        <v>683</v>
      </c>
      <c r="G122" s="3243"/>
      <c r="H122" s="3243" t="s">
        <v>4</v>
      </c>
      <c r="I122" s="3244"/>
      <c r="J122" s="1258"/>
      <c r="K122" s="1258"/>
      <c r="L122" s="1258"/>
      <c r="M122" s="1258"/>
      <c r="N122" s="1258"/>
      <c r="O122" s="1258"/>
      <c r="P122" s="1258"/>
      <c r="Q122" s="1258"/>
      <c r="R122" s="1258"/>
      <c r="S122" s="1258"/>
      <c r="T122" s="1258"/>
      <c r="U122" s="1258"/>
      <c r="V122" s="1258"/>
      <c r="W122" s="1258"/>
      <c r="X122" s="1258"/>
      <c r="Y122" s="1258"/>
      <c r="Z122" s="1258"/>
    </row>
    <row r="123" spans="1:26" s="1225" customFormat="1" ht="13.5">
      <c r="A123" s="3247"/>
      <c r="B123" s="3246"/>
      <c r="C123" s="3246"/>
      <c r="D123" s="2029" t="s">
        <v>5</v>
      </c>
      <c r="E123" s="2029" t="s">
        <v>702</v>
      </c>
      <c r="F123" s="2029" t="s">
        <v>5</v>
      </c>
      <c r="G123" s="2029" t="s">
        <v>6</v>
      </c>
      <c r="H123" s="2029" t="s">
        <v>5</v>
      </c>
      <c r="I123" s="2040" t="s">
        <v>6</v>
      </c>
      <c r="J123" s="1258"/>
      <c r="K123" s="1258"/>
      <c r="L123" s="1258"/>
      <c r="M123" s="1258"/>
      <c r="N123" s="1258"/>
      <c r="O123" s="1258"/>
      <c r="P123" s="1258"/>
      <c r="Q123" s="1258"/>
      <c r="R123" s="1258"/>
      <c r="S123" s="1258"/>
      <c r="T123" s="1258"/>
      <c r="U123" s="1258"/>
      <c r="V123" s="1258"/>
      <c r="W123" s="1258"/>
      <c r="X123" s="1258"/>
      <c r="Y123" s="1258"/>
      <c r="Z123" s="1258"/>
    </row>
    <row r="124" spans="1:26" s="1225" customFormat="1" ht="14.25">
      <c r="A124" s="2028" t="str">
        <f>项目基本情况!I1</f>
        <v>北京市房地产</v>
      </c>
      <c r="B124" s="2035">
        <f>典型户型修正!B25</f>
        <v>162.61000000000001</v>
      </c>
      <c r="C124" s="618"/>
      <c r="D124" s="2035">
        <f>C35</f>
        <v>0</v>
      </c>
      <c r="E124" s="2035">
        <f>ROUND(IF(H19="元",D124/B124,D124*10000/B124),0)</f>
        <v>0</v>
      </c>
      <c r="F124" s="2035">
        <f>C36</f>
        <v>0</v>
      </c>
      <c r="G124" s="2035">
        <f>ROUND(IF(H19="元",F124/B124,F124*10000/B124),0)</f>
        <v>0</v>
      </c>
      <c r="H124" s="2035">
        <f>C33</f>
        <v>880</v>
      </c>
      <c r="I124" s="855">
        <f>C34</f>
        <v>54117</v>
      </c>
      <c r="J124" s="1258"/>
      <c r="K124" s="1258"/>
      <c r="L124" s="1258"/>
      <c r="M124" s="1258"/>
      <c r="N124" s="1258"/>
      <c r="O124" s="1258"/>
      <c r="P124" s="1258"/>
      <c r="Q124" s="1258"/>
      <c r="R124" s="1258"/>
      <c r="S124" s="1258"/>
      <c r="T124" s="1258"/>
      <c r="U124" s="1258"/>
      <c r="V124" s="1258"/>
      <c r="W124" s="1258"/>
      <c r="X124" s="1258"/>
      <c r="Y124" s="1258"/>
      <c r="Z124" s="1258"/>
    </row>
    <row r="125" spans="1:26" s="1225" customFormat="1" ht="13.5">
      <c r="A125" s="3247" t="s">
        <v>7</v>
      </c>
      <c r="B125" s="3243"/>
      <c r="C125" s="3243"/>
      <c r="D125" s="3280" t="str">
        <f>IF(H19="元",NUMBERSTRING(INT(D124),2)&amp;"元整",NUMBERSTRING(INT(D124*10000),2)&amp;"元整")</f>
        <v>零元整</v>
      </c>
      <c r="E125" s="3281"/>
      <c r="F125" s="3280" t="str">
        <f>IF(H19="元",NUMBERSTRING(INT(F124),2)&amp;"元整",NUMBERSTRING(INT(F124*10000),2)&amp;"元整")</f>
        <v>零元整</v>
      </c>
      <c r="G125" s="3281"/>
      <c r="H125" s="3280" t="str">
        <f>IF(H19="元",NUMBERSTRING(INT(H124),2)&amp;"元整",NUMBERSTRING(INT(H124*10000),2)&amp;"元整")</f>
        <v>捌佰捌拾万元整</v>
      </c>
      <c r="I125" s="3356"/>
      <c r="J125" s="1258"/>
      <c r="K125" s="1258"/>
      <c r="L125" s="1258"/>
      <c r="M125" s="1258"/>
      <c r="N125" s="1258"/>
      <c r="O125" s="1258"/>
      <c r="P125" s="1258"/>
      <c r="Q125" s="1258"/>
      <c r="R125" s="1258"/>
      <c r="S125" s="1258"/>
      <c r="T125" s="1258"/>
      <c r="U125" s="1258"/>
      <c r="V125" s="1258"/>
      <c r="W125" s="1258"/>
      <c r="X125" s="1258"/>
      <c r="Y125" s="1258"/>
      <c r="Z125" s="1258"/>
    </row>
    <row r="126" spans="1:26" s="1225" customFormat="1" ht="15">
      <c r="A126" s="3282" t="str">
        <f>IF(项目基本情况!D5="房地产市场价值","——",MID(A111,3,LEN(A111)-2))</f>
        <v>估价师所知悉的法定优先受偿款</v>
      </c>
      <c r="B126" s="3283"/>
      <c r="C126" s="3284"/>
      <c r="D126" s="3341">
        <f>I106</f>
        <v>0</v>
      </c>
      <c r="E126" s="3342"/>
      <c r="F126" s="3342"/>
      <c r="G126" s="3342"/>
      <c r="H126" s="3342"/>
      <c r="I126" s="3343"/>
      <c r="J126" s="1258"/>
      <c r="K126" s="1258"/>
      <c r="L126" s="1258"/>
      <c r="M126" s="1258"/>
      <c r="N126" s="1258"/>
      <c r="O126" s="1258"/>
      <c r="P126" s="1258"/>
      <c r="Q126" s="1258"/>
      <c r="R126" s="1258"/>
      <c r="S126" s="1258"/>
      <c r="T126" s="1258"/>
      <c r="U126" s="1258"/>
      <c r="V126" s="1258"/>
      <c r="W126" s="1258"/>
      <c r="X126" s="1258"/>
      <c r="Y126" s="1258"/>
      <c r="Z126" s="1258"/>
    </row>
    <row r="127" spans="1:26" s="1225" customFormat="1" ht="13.5">
      <c r="A127" s="3285" t="s">
        <v>7</v>
      </c>
      <c r="B127" s="3286"/>
      <c r="C127" s="3287"/>
      <c r="D127" s="3344">
        <f>H110</f>
        <v>0</v>
      </c>
      <c r="E127" s="3345"/>
      <c r="F127" s="3345"/>
      <c r="G127" s="3345"/>
      <c r="H127" s="3345"/>
      <c r="I127" s="3346"/>
      <c r="J127" s="1258"/>
      <c r="K127" s="1258"/>
      <c r="L127" s="1258"/>
      <c r="M127" s="1258"/>
      <c r="N127" s="1258"/>
      <c r="O127" s="1258"/>
      <c r="P127" s="1258"/>
      <c r="Q127" s="1258"/>
      <c r="R127" s="1258"/>
      <c r="S127" s="1258"/>
      <c r="T127" s="1258"/>
      <c r="U127" s="1258"/>
      <c r="V127" s="1258"/>
      <c r="W127" s="1258"/>
      <c r="X127" s="1258"/>
      <c r="Y127" s="1258"/>
      <c r="Z127" s="1258"/>
    </row>
    <row r="128" spans="1:26" s="1225" customFormat="1" ht="15">
      <c r="A128" s="3271" t="str">
        <f>IF(项目基本情况!D5="房地产市场价值","——",MID(A115,3,LEN(A115)-2))</f>
        <v>房地产抵押价值</v>
      </c>
      <c r="B128" s="3272"/>
      <c r="C128" s="3272"/>
      <c r="D128" s="3341">
        <f>I111</f>
        <v>880</v>
      </c>
      <c r="E128" s="3342"/>
      <c r="F128" s="3342"/>
      <c r="G128" s="3342"/>
      <c r="H128" s="3342"/>
      <c r="I128" s="3343"/>
      <c r="J128" s="1258"/>
      <c r="K128" s="1258"/>
      <c r="L128" s="1258"/>
      <c r="M128" s="1258"/>
      <c r="N128" s="1258"/>
      <c r="O128" s="1258"/>
      <c r="P128" s="1258"/>
      <c r="Q128" s="1258"/>
      <c r="R128" s="1258"/>
      <c r="S128" s="1258"/>
      <c r="T128" s="1258"/>
      <c r="U128" s="1258"/>
      <c r="V128" s="1258"/>
      <c r="W128" s="1258"/>
      <c r="X128" s="1258"/>
      <c r="Y128" s="1258"/>
      <c r="Z128" s="1258"/>
    </row>
    <row r="129" spans="1:26" s="1225" customFormat="1" ht="13.5">
      <c r="A129" s="3247" t="s">
        <v>7</v>
      </c>
      <c r="B129" s="3243"/>
      <c r="C129" s="3243"/>
      <c r="D129" s="3344">
        <f>I112</f>
        <v>54117</v>
      </c>
      <c r="E129" s="3345"/>
      <c r="F129" s="3345"/>
      <c r="G129" s="3345"/>
      <c r="H129" s="3345"/>
      <c r="I129" s="3346"/>
      <c r="J129" s="1258"/>
      <c r="K129" s="1258"/>
      <c r="L129" s="1258"/>
      <c r="M129" s="1258"/>
      <c r="N129" s="1258"/>
      <c r="O129" s="1258"/>
      <c r="P129" s="1258"/>
      <c r="Q129" s="1258"/>
      <c r="R129" s="1258"/>
      <c r="S129" s="1258"/>
      <c r="T129" s="1258"/>
      <c r="U129" s="1258"/>
      <c r="V129" s="1258"/>
      <c r="W129" s="1258"/>
      <c r="X129" s="1258"/>
      <c r="Y129" s="1258"/>
      <c r="Z129" s="1258"/>
    </row>
    <row r="130" spans="1:26" s="1225" customFormat="1" ht="15.75" thickBot="1">
      <c r="A130" s="3271" t="str">
        <f>IF(项目基本情况!D5="房地产市场价值","——",MID(A117,3,LEN(A117)-2))</f>
        <v/>
      </c>
      <c r="B130" s="3272"/>
      <c r="C130" s="3272"/>
      <c r="D130" s="3225" t="str">
        <f>I113</f>
        <v>——</v>
      </c>
      <c r="E130" s="3226"/>
      <c r="F130" s="3226"/>
      <c r="G130" s="3226"/>
      <c r="H130" s="3226"/>
      <c r="I130" s="3227"/>
      <c r="J130" s="1258"/>
      <c r="K130" s="1258"/>
      <c r="L130" s="1258"/>
      <c r="M130" s="1258"/>
      <c r="N130" s="1258"/>
      <c r="O130" s="1258"/>
      <c r="P130" s="1258"/>
      <c r="Q130" s="1258"/>
      <c r="R130" s="1258"/>
      <c r="S130" s="1258"/>
      <c r="T130" s="1258"/>
      <c r="U130" s="1258"/>
      <c r="V130" s="1258"/>
      <c r="W130" s="1258"/>
      <c r="X130" s="1258"/>
      <c r="Y130" s="1258"/>
      <c r="Z130" s="1258"/>
    </row>
    <row r="131" spans="1:26" s="1225" customFormat="1" ht="15" thickTop="1" thickBot="1">
      <c r="A131" s="3247" t="s">
        <v>7</v>
      </c>
      <c r="B131" s="3243"/>
      <c r="C131" s="3336"/>
      <c r="D131" s="3274" t="str">
        <f>I114</f>
        <v>——</v>
      </c>
      <c r="E131" s="3274"/>
      <c r="F131" s="3274"/>
      <c r="G131" s="3274"/>
      <c r="H131" s="3274"/>
      <c r="I131" s="3274"/>
      <c r="J131" s="1258"/>
      <c r="K131" s="1258"/>
      <c r="L131" s="1258"/>
      <c r="M131" s="1258"/>
      <c r="N131" s="1258"/>
      <c r="O131" s="1258"/>
      <c r="P131" s="1258"/>
      <c r="Q131" s="1258"/>
      <c r="R131" s="1258"/>
      <c r="S131" s="1258"/>
      <c r="T131" s="1258"/>
      <c r="U131" s="1258"/>
      <c r="V131" s="1258"/>
      <c r="W131" s="1258"/>
      <c r="X131" s="1258"/>
      <c r="Y131" s="1258"/>
      <c r="Z131" s="1258"/>
    </row>
    <row r="132" spans="1:26" s="1225" customFormat="1" ht="16.5" thickTop="1" thickBot="1">
      <c r="A132" s="3271" t="str">
        <f>IF(项目基本情况!D5="房地产市场价值","——",MID(F115,3,LEN(F115)-2))</f>
        <v/>
      </c>
      <c r="B132" s="3272"/>
      <c r="C132" s="3273"/>
      <c r="D132" s="3347" t="str">
        <f>I115</f>
        <v>——</v>
      </c>
      <c r="E132" s="3347"/>
      <c r="F132" s="3347"/>
      <c r="G132" s="3347"/>
      <c r="H132" s="3347"/>
      <c r="I132" s="3347"/>
      <c r="J132" s="1258"/>
      <c r="K132" s="1258"/>
      <c r="L132" s="1258"/>
      <c r="M132" s="1258"/>
      <c r="N132" s="1258"/>
      <c r="O132" s="1258"/>
      <c r="P132" s="1258"/>
      <c r="Q132" s="1258"/>
      <c r="R132" s="1258"/>
      <c r="S132" s="1258"/>
      <c r="T132" s="1258"/>
      <c r="U132" s="1258"/>
      <c r="V132" s="1258"/>
      <c r="W132" s="1258"/>
      <c r="X132" s="1258"/>
      <c r="Y132" s="1258"/>
      <c r="Z132" s="1258"/>
    </row>
    <row r="133" spans="1:26" s="1225" customFormat="1" ht="15" thickTop="1" thickBot="1">
      <c r="A133" s="3352" t="s">
        <v>7</v>
      </c>
      <c r="B133" s="3353"/>
      <c r="C133" s="3353"/>
      <c r="D133" s="3357">
        <f>H117</f>
        <v>0</v>
      </c>
      <c r="E133" s="3358"/>
      <c r="F133" s="3358"/>
      <c r="G133" s="3358"/>
      <c r="H133" s="3358"/>
      <c r="I133" s="3359"/>
      <c r="J133" s="1258"/>
      <c r="K133" s="1258"/>
      <c r="L133" s="1258"/>
      <c r="M133" s="1258"/>
      <c r="N133" s="1258"/>
      <c r="O133" s="1258"/>
      <c r="P133" s="1258"/>
      <c r="Q133" s="1258"/>
      <c r="R133" s="1258"/>
      <c r="S133" s="1258"/>
      <c r="T133" s="1258"/>
      <c r="U133" s="1258"/>
      <c r="V133" s="1258"/>
      <c r="W133" s="1258"/>
      <c r="X133" s="1258"/>
      <c r="Y133" s="1258"/>
      <c r="Z133" s="1258"/>
    </row>
    <row r="134" spans="1:26" s="1225" customFormat="1" ht="12">
      <c r="A134" s="1755" t="str">
        <f>IF(H19="元","单位：平方米、元、元/平方米（币种：人民币）","单位：平方米、万元、元/平方米（币种：人民币）")</f>
        <v>单位：平方米、万元、元/平方米（币种：人民币）</v>
      </c>
      <c r="B134" s="1755"/>
      <c r="C134" s="1755"/>
      <c r="D134" s="1755"/>
      <c r="E134" s="1755"/>
      <c r="F134" s="1755"/>
      <c r="G134" s="1755"/>
      <c r="H134" s="1755"/>
      <c r="I134" s="1755"/>
      <c r="J134" s="1258"/>
      <c r="K134" s="1258"/>
      <c r="L134" s="1258"/>
      <c r="M134" s="1258"/>
      <c r="N134" s="1258"/>
      <c r="O134" s="1258"/>
      <c r="P134" s="1258"/>
      <c r="Q134" s="1258"/>
      <c r="R134" s="1258"/>
      <c r="S134" s="1258"/>
      <c r="T134" s="1258"/>
      <c r="U134" s="1258"/>
      <c r="V134" s="1258"/>
      <c r="W134" s="1258"/>
      <c r="X134" s="1258"/>
      <c r="Y134" s="1258"/>
      <c r="Z134" s="1258"/>
    </row>
    <row r="135" spans="1:26" s="1225" customFormat="1" ht="12.75" thickBot="1">
      <c r="A135" s="3334" t="str">
        <f>IF(B32="总价","（以上估价结果中楼面单价为总价除以建筑面积得出）","（以上估价结果中总价为楼面单价乘以建筑面积得出）")</f>
        <v>（以上估价结果中总价为楼面单价乘以建筑面积得出）</v>
      </c>
      <c r="B135" s="3334"/>
      <c r="C135" s="3334"/>
      <c r="D135" s="3334"/>
      <c r="E135" s="3334"/>
      <c r="F135" s="3334"/>
      <c r="G135" s="3334"/>
      <c r="H135" s="3334"/>
      <c r="I135" s="3334"/>
      <c r="J135" s="1258"/>
      <c r="K135" s="1258"/>
      <c r="L135" s="1258"/>
      <c r="M135" s="1258"/>
      <c r="N135" s="1258"/>
      <c r="O135" s="1258"/>
      <c r="P135" s="1258"/>
      <c r="Q135" s="1258"/>
      <c r="R135" s="1258"/>
      <c r="S135" s="1258"/>
      <c r="T135" s="1258"/>
      <c r="U135" s="1258"/>
      <c r="V135" s="1258"/>
      <c r="W135" s="1258"/>
      <c r="X135" s="1258"/>
      <c r="Y135" s="1258"/>
      <c r="Z135" s="1258"/>
    </row>
    <row r="136" spans="1:26" s="1225" customFormat="1" ht="21.75" customHeight="1">
      <c r="A136" s="1891" t="s">
        <v>703</v>
      </c>
      <c r="B136" s="1892"/>
      <c r="C136" s="1893" t="s">
        <v>151</v>
      </c>
      <c r="D136" s="1250"/>
      <c r="E136" s="1250"/>
      <c r="F136" s="1250"/>
      <c r="G136" s="1250"/>
      <c r="H136" s="1251"/>
      <c r="I136" s="1252"/>
      <c r="J136" s="1258"/>
      <c r="K136" s="1258"/>
      <c r="L136" s="1258"/>
      <c r="M136" s="1258"/>
      <c r="N136" s="1258"/>
      <c r="O136" s="1258"/>
      <c r="P136" s="1258"/>
      <c r="Q136" s="1258"/>
      <c r="R136" s="1258"/>
      <c r="S136" s="1258"/>
      <c r="T136" s="1258"/>
      <c r="U136" s="1258"/>
      <c r="V136" s="1258"/>
      <c r="W136" s="1258"/>
      <c r="X136" s="1258"/>
      <c r="Y136" s="1258"/>
      <c r="Z136" s="1258"/>
    </row>
    <row r="137" spans="1:26" s="1225" customFormat="1" ht="21.75" customHeight="1">
      <c r="A137" s="1248">
        <v>1</v>
      </c>
      <c r="B137" s="1249"/>
      <c r="C137" s="1249"/>
      <c r="D137" s="1250"/>
      <c r="E137" s="1250"/>
      <c r="F137" s="1250"/>
      <c r="G137" s="1250"/>
      <c r="H137" s="1251"/>
      <c r="I137" s="1252"/>
      <c r="J137" s="1258"/>
      <c r="K137" s="1258"/>
      <c r="L137" s="1258"/>
      <c r="M137" s="1258"/>
      <c r="N137" s="1258"/>
      <c r="O137" s="1258"/>
      <c r="P137" s="1258"/>
      <c r="Q137" s="1258"/>
      <c r="R137" s="1258"/>
      <c r="S137" s="1258"/>
      <c r="T137" s="1258"/>
      <c r="U137" s="1258"/>
      <c r="V137" s="1258"/>
      <c r="W137" s="1258"/>
      <c r="X137" s="1258"/>
      <c r="Y137" s="1258"/>
      <c r="Z137" s="1258"/>
    </row>
    <row r="138" spans="1:26" s="1225" customFormat="1" ht="21.75" customHeight="1">
      <c r="A138" s="1248">
        <v>2</v>
      </c>
      <c r="B138" s="1249"/>
      <c r="C138" s="1249"/>
      <c r="D138" s="1250"/>
      <c r="E138" s="1250"/>
      <c r="F138" s="1250"/>
      <c r="G138" s="1250"/>
      <c r="H138" s="1251"/>
      <c r="I138" s="1252"/>
      <c r="J138" s="1258"/>
      <c r="K138" s="1258"/>
      <c r="L138" s="1258"/>
      <c r="M138" s="1258"/>
      <c r="N138" s="1258"/>
      <c r="O138" s="1258"/>
      <c r="P138" s="1258"/>
      <c r="Q138" s="1258"/>
      <c r="R138" s="1258"/>
      <c r="S138" s="1258"/>
      <c r="T138" s="1258"/>
      <c r="U138" s="1258"/>
      <c r="V138" s="1258"/>
      <c r="W138" s="1258"/>
      <c r="X138" s="1258"/>
      <c r="Y138" s="1258"/>
      <c r="Z138" s="1258"/>
    </row>
    <row r="139" spans="1:26" s="1225" customFormat="1" ht="21.75" customHeight="1">
      <c r="A139" s="1248">
        <v>3</v>
      </c>
      <c r="B139" s="1249"/>
      <c r="C139" s="1249"/>
      <c r="D139" s="1250"/>
      <c r="E139" s="1250"/>
      <c r="F139" s="1890"/>
      <c r="G139" s="1890"/>
      <c r="H139" s="1890"/>
      <c r="I139" s="1890"/>
      <c r="J139" s="1258"/>
      <c r="K139" s="1258"/>
      <c r="L139" s="1258"/>
      <c r="M139" s="1258"/>
      <c r="N139" s="1258"/>
      <c r="O139" s="1258"/>
      <c r="P139" s="1258"/>
      <c r="Q139" s="1258"/>
      <c r="R139" s="1258"/>
      <c r="S139" s="1258"/>
      <c r="T139" s="1258"/>
      <c r="U139" s="1258"/>
      <c r="V139" s="1258"/>
      <c r="W139" s="1258"/>
      <c r="X139" s="1258"/>
      <c r="Y139" s="1258"/>
      <c r="Z139" s="1258"/>
    </row>
    <row r="140" spans="1:26" s="1225" customFormat="1" ht="21.75" customHeight="1">
      <c r="A140" s="1253"/>
      <c r="B140" s="1254"/>
      <c r="C140" s="1254"/>
      <c r="D140" s="1255"/>
      <c r="E140" s="1255"/>
      <c r="F140" s="1255"/>
      <c r="G140" s="1255"/>
      <c r="H140" s="1256"/>
      <c r="I140" s="1257"/>
      <c r="J140" s="1258"/>
      <c r="K140" s="1258"/>
      <c r="L140" s="1258"/>
      <c r="M140" s="1258"/>
      <c r="N140" s="1258"/>
      <c r="O140" s="1258"/>
      <c r="P140" s="1258"/>
      <c r="Q140" s="1258"/>
      <c r="R140" s="1258"/>
      <c r="S140" s="1258"/>
      <c r="T140" s="1258"/>
      <c r="U140" s="1258"/>
      <c r="V140" s="1258"/>
      <c r="W140" s="1258"/>
      <c r="X140" s="1258"/>
      <c r="Y140" s="1258"/>
      <c r="Z140" s="1258"/>
    </row>
    <row r="141" spans="1:26" s="1225" customFormat="1" ht="21.75" customHeight="1">
      <c r="A141" s="1249"/>
      <c r="B141" s="1249"/>
      <c r="C141" s="1249"/>
      <c r="D141" s="1250"/>
      <c r="E141" s="1250"/>
      <c r="F141" s="1250"/>
      <c r="G141" s="1250"/>
      <c r="H141" s="1251"/>
      <c r="I141" s="1258"/>
      <c r="J141" s="1258"/>
      <c r="K141" s="1258"/>
      <c r="L141" s="1258"/>
      <c r="M141" s="1258"/>
      <c r="N141" s="1258"/>
      <c r="O141" s="1258"/>
      <c r="P141" s="1258"/>
      <c r="Q141" s="1258"/>
      <c r="R141" s="1258"/>
      <c r="S141" s="1258"/>
      <c r="T141" s="1258"/>
      <c r="U141" s="1258"/>
      <c r="V141" s="1258"/>
      <c r="W141" s="1258"/>
      <c r="X141" s="1258"/>
      <c r="Y141" s="1258"/>
      <c r="Z141" s="1258"/>
    </row>
    <row r="142" spans="1:26" s="1225" customFormat="1" ht="21.75" customHeight="1">
      <c r="A142" s="1258"/>
      <c r="B142" s="1258"/>
      <c r="C142" s="1258"/>
      <c r="D142" s="1258"/>
      <c r="E142" s="1258"/>
      <c r="F142" s="1259" t="s">
        <v>704</v>
      </c>
      <c r="G142" s="1260"/>
      <c r="H142" s="1260"/>
      <c r="I142" s="1261" t="s">
        <v>705</v>
      </c>
      <c r="J142" s="1258"/>
      <c r="K142" s="1258"/>
      <c r="L142" s="1258"/>
      <c r="M142" s="1258"/>
      <c r="N142" s="1258"/>
      <c r="O142" s="1258"/>
      <c r="P142" s="1258"/>
      <c r="Q142" s="1258"/>
      <c r="R142" s="1258"/>
      <c r="S142" s="1258"/>
      <c r="T142" s="1258"/>
      <c r="U142" s="1258"/>
      <c r="V142" s="1258"/>
      <c r="W142" s="1258"/>
      <c r="X142" s="1258"/>
      <c r="Y142" s="1258"/>
      <c r="Z142" s="1258"/>
    </row>
    <row r="143" spans="1:26" s="1225" customFormat="1" ht="21.75" customHeight="1">
      <c r="A143" s="1258"/>
      <c r="B143" s="1262" t="s">
        <v>706</v>
      </c>
      <c r="C143" s="1258"/>
      <c r="D143" s="1258"/>
      <c r="E143" s="1258"/>
      <c r="F143" s="12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row>
    <row r="144" spans="1:26" s="122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row>
    <row r="145" spans="1:26" s="1225" customFormat="1" ht="21.75" customHeight="1">
      <c r="A145" s="1258"/>
      <c r="B145" s="1260"/>
      <c r="C145" s="1260"/>
      <c r="D145" s="1260"/>
      <c r="E145" s="1260"/>
      <c r="F145" s="1260"/>
      <c r="G145" s="1260"/>
      <c r="H145" s="1260"/>
      <c r="I145" s="1261" t="s">
        <v>707</v>
      </c>
      <c r="J145" s="1258"/>
      <c r="K145" s="1258"/>
      <c r="L145" s="1258"/>
      <c r="M145" s="1258"/>
      <c r="N145" s="1258"/>
      <c r="O145" s="1258"/>
      <c r="P145" s="1258"/>
      <c r="Q145" s="1258"/>
      <c r="R145" s="1258"/>
      <c r="S145" s="1258"/>
      <c r="T145" s="1258"/>
      <c r="U145" s="1258"/>
      <c r="V145" s="1258"/>
      <c r="W145" s="1258"/>
      <c r="X145" s="1258"/>
      <c r="Y145" s="1258"/>
      <c r="Z145" s="1258"/>
    </row>
    <row r="146" spans="1:26" s="1225" customFormat="1" ht="21.75" customHeight="1">
      <c r="A146" s="1258"/>
      <c r="B146" s="1262" t="s">
        <v>708</v>
      </c>
      <c r="C146" s="1258"/>
      <c r="D146" s="1258"/>
      <c r="E146" s="1258"/>
      <c r="F146" s="1258"/>
      <c r="G146" s="1258"/>
      <c r="H146" s="1258"/>
      <c r="I146" s="1258"/>
      <c r="J146" s="1258"/>
      <c r="K146" s="1258"/>
      <c r="L146" s="1258"/>
      <c r="M146" s="1258"/>
      <c r="N146" s="1258"/>
      <c r="O146" s="1258"/>
      <c r="P146" s="1258"/>
      <c r="Q146" s="1258"/>
      <c r="R146" s="1258"/>
      <c r="S146" s="1258"/>
      <c r="T146" s="1258"/>
      <c r="U146" s="1258"/>
      <c r="V146" s="1258"/>
      <c r="W146" s="1258"/>
      <c r="X146" s="1258"/>
      <c r="Y146" s="1258"/>
      <c r="Z146" s="1258"/>
    </row>
    <row r="147" spans="1:26" s="1225" customFormat="1" ht="21.75" customHeight="1">
      <c r="A147" s="1258"/>
      <c r="B147" s="1262"/>
      <c r="C147" s="1258"/>
      <c r="D147" s="1258"/>
      <c r="E147" s="1258"/>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row>
    <row r="148" spans="1:26" s="1225" customFormat="1" ht="21.75" customHeight="1">
      <c r="A148" s="1258"/>
      <c r="B148" s="1260"/>
      <c r="C148" s="1260"/>
      <c r="D148" s="1260"/>
      <c r="E148" s="1260"/>
      <c r="F148" s="1260"/>
      <c r="G148" s="1260"/>
      <c r="H148" s="1260"/>
      <c r="I148" s="1261" t="s">
        <v>707</v>
      </c>
      <c r="J148" s="1258"/>
      <c r="K148" s="1258"/>
      <c r="L148" s="1258"/>
      <c r="M148" s="1258"/>
      <c r="N148" s="1258"/>
      <c r="O148" s="1258"/>
      <c r="P148" s="1258"/>
      <c r="Q148" s="1258"/>
      <c r="R148" s="1258"/>
      <c r="S148" s="1258"/>
      <c r="T148" s="1258"/>
      <c r="U148" s="1258"/>
      <c r="V148" s="1258"/>
      <c r="W148" s="1258"/>
      <c r="X148" s="1258"/>
      <c r="Y148" s="1258"/>
      <c r="Z148" s="1258"/>
    </row>
    <row r="149" spans="1:26" s="1225" customFormat="1" ht="21.75" customHeight="1">
      <c r="A149" s="1258"/>
      <c r="B149" s="1262"/>
      <c r="C149" s="1263"/>
      <c r="D149" s="1264"/>
      <c r="E149" s="1264"/>
      <c r="F149" s="1265"/>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row>
    <row r="150" spans="1:26" s="1258" customFormat="1" ht="21.75" customHeight="1">
      <c r="B150" s="1262"/>
      <c r="C150" s="1263"/>
      <c r="D150" s="1264"/>
      <c r="E150" s="1264"/>
    </row>
    <row r="151" spans="1:26" s="1258" customFormat="1" ht="21.75" customHeight="1"/>
    <row r="152" spans="1:26" s="1258" customFormat="1" ht="21.75" customHeight="1"/>
    <row r="153" spans="1:26" s="1258" customFormat="1" ht="21.75" customHeight="1"/>
    <row r="154" spans="1:26" s="1258" customFormat="1" ht="21.75" customHeight="1"/>
    <row r="155" spans="1:26" s="1258" customFormat="1" ht="21.75" customHeight="1"/>
    <row r="156" spans="1:26" s="1258" customFormat="1" ht="21.75" customHeight="1"/>
    <row r="157" spans="1:26" s="1258" customFormat="1" ht="21.75" customHeight="1"/>
    <row r="158" spans="1:26" s="1258" customFormat="1" ht="21.75" customHeight="1"/>
    <row r="159" spans="1:26" s="1258" customFormat="1" ht="21.75" customHeight="1"/>
    <row r="160" spans="1:26"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pans="10:26" s="1258" customFormat="1" ht="21.75" customHeight="1"/>
    <row r="370" spans="10:26" s="1258" customFormat="1" ht="21.75" customHeight="1"/>
    <row r="371" spans="10:26" s="1258" customFormat="1" ht="21.75" customHeight="1"/>
    <row r="372" spans="10:26" s="1258" customFormat="1" ht="21.75" customHeight="1"/>
    <row r="373" spans="10:26" s="1258" customFormat="1" ht="21.75" customHeight="1"/>
    <row r="374" spans="10:26" s="1258" customFormat="1" ht="21.75" customHeight="1"/>
    <row r="375" spans="10:26" s="1258" customFormat="1" ht="21.75" customHeight="1"/>
    <row r="376" spans="10:26" s="1258" customFormat="1" ht="21.75" customHeight="1"/>
    <row r="377" spans="10:26" s="1258" customFormat="1" ht="21.75" customHeight="1"/>
    <row r="378" spans="10:26" s="1258" customFormat="1" ht="21.75" customHeight="1"/>
    <row r="379" spans="10:26" s="1258" customFormat="1" ht="21.75" customHeight="1"/>
    <row r="380" spans="10:26" s="1258" customFormat="1" ht="21.75" customHeight="1"/>
    <row r="381" spans="10:26" s="1258" customFormat="1" ht="21.75" customHeight="1"/>
    <row r="382" spans="10:26" s="1225" customFormat="1" ht="21.75" customHeight="1">
      <c r="J382" s="1258"/>
      <c r="K382" s="1258"/>
      <c r="L382" s="1258"/>
      <c r="M382" s="1258"/>
      <c r="N382" s="1258"/>
      <c r="O382" s="1258"/>
      <c r="P382" s="1258"/>
      <c r="Q382" s="1258"/>
      <c r="R382" s="1258"/>
      <c r="S382" s="1258"/>
      <c r="T382" s="1258"/>
      <c r="U382" s="1258"/>
      <c r="V382" s="1258"/>
      <c r="W382" s="1258"/>
      <c r="X382" s="1258"/>
      <c r="Y382" s="1258"/>
      <c r="Z382" s="1258"/>
    </row>
    <row r="383" spans="10:26" s="1225" customFormat="1" ht="21.75" customHeight="1">
      <c r="J383" s="1258"/>
      <c r="K383" s="1258"/>
      <c r="L383" s="1258"/>
      <c r="M383" s="1258"/>
      <c r="N383" s="1258"/>
      <c r="O383" s="1258"/>
      <c r="P383" s="1258"/>
      <c r="Q383" s="1258"/>
      <c r="R383" s="1258"/>
      <c r="S383" s="1258"/>
      <c r="T383" s="1258"/>
      <c r="U383" s="1258"/>
      <c r="V383" s="1258"/>
      <c r="W383" s="1258"/>
      <c r="X383" s="1258"/>
      <c r="Y383" s="1258"/>
      <c r="Z383" s="1258"/>
    </row>
    <row r="384" spans="10:26" s="1225" customFormat="1" ht="21.75" customHeight="1">
      <c r="J384" s="1258"/>
      <c r="K384" s="1258"/>
      <c r="L384" s="1258"/>
      <c r="M384" s="1258"/>
      <c r="N384" s="1258"/>
      <c r="O384" s="1258"/>
      <c r="P384" s="1258"/>
      <c r="Q384" s="1258"/>
      <c r="R384" s="1258"/>
      <c r="S384" s="1258"/>
      <c r="T384" s="1258"/>
      <c r="U384" s="1258"/>
      <c r="V384" s="1258"/>
      <c r="W384" s="1258"/>
      <c r="X384" s="1258"/>
      <c r="Y384" s="1258"/>
      <c r="Z384" s="1258"/>
    </row>
    <row r="385" spans="10:26" s="1225" customFormat="1" ht="21.75" customHeight="1">
      <c r="J385" s="1258"/>
      <c r="K385" s="1258"/>
      <c r="L385" s="1258"/>
      <c r="M385" s="1258"/>
      <c r="N385" s="1258"/>
      <c r="O385" s="1258"/>
      <c r="P385" s="1258"/>
      <c r="Q385" s="1258"/>
      <c r="R385" s="1258"/>
      <c r="S385" s="1258"/>
      <c r="T385" s="1258"/>
      <c r="U385" s="1258"/>
      <c r="V385" s="1258"/>
      <c r="W385" s="1258"/>
      <c r="X385" s="1258"/>
      <c r="Y385" s="1258"/>
      <c r="Z385" s="1258"/>
    </row>
    <row r="386" spans="10:26" s="1225" customFormat="1" ht="21.75" customHeight="1">
      <c r="J386" s="1258"/>
      <c r="K386" s="1258"/>
      <c r="L386" s="1258"/>
      <c r="M386" s="1258"/>
      <c r="N386" s="1258"/>
      <c r="O386" s="1258"/>
      <c r="P386" s="1258"/>
      <c r="Q386" s="1258"/>
      <c r="R386" s="1258"/>
      <c r="S386" s="1258"/>
      <c r="T386" s="1258"/>
      <c r="U386" s="1258"/>
      <c r="V386" s="1258"/>
      <c r="W386" s="1258"/>
      <c r="X386" s="1258"/>
      <c r="Y386" s="1258"/>
      <c r="Z386" s="1258"/>
    </row>
    <row r="387" spans="10:26" s="1225" customFormat="1" ht="21.75" customHeight="1">
      <c r="J387" s="1258"/>
      <c r="K387" s="1258"/>
      <c r="L387" s="1258"/>
      <c r="M387" s="1258"/>
      <c r="N387" s="1258"/>
      <c r="O387" s="1258"/>
      <c r="P387" s="1258"/>
      <c r="Q387" s="1258"/>
      <c r="R387" s="1258"/>
      <c r="S387" s="1258"/>
      <c r="T387" s="1258"/>
      <c r="U387" s="1258"/>
      <c r="V387" s="1258"/>
      <c r="W387" s="1258"/>
      <c r="X387" s="1258"/>
      <c r="Y387" s="1258"/>
      <c r="Z387" s="1258"/>
    </row>
    <row r="388" spans="10:26" s="1225" customFormat="1" ht="21.75" customHeight="1">
      <c r="J388" s="1258"/>
      <c r="K388" s="1258"/>
      <c r="L388" s="1258"/>
      <c r="M388" s="1258"/>
      <c r="N388" s="1258"/>
      <c r="O388" s="1258"/>
      <c r="P388" s="1258"/>
      <c r="Q388" s="1258"/>
      <c r="R388" s="1258"/>
      <c r="S388" s="1258"/>
      <c r="T388" s="1258"/>
      <c r="U388" s="1258"/>
      <c r="V388" s="1258"/>
      <c r="W388" s="1258"/>
      <c r="X388" s="1258"/>
      <c r="Y388" s="1258"/>
      <c r="Z388" s="1258"/>
    </row>
    <row r="389" spans="10:26" s="1225" customFormat="1" ht="21.75" customHeight="1">
      <c r="J389" s="1258"/>
      <c r="K389" s="1258"/>
      <c r="L389" s="1258"/>
      <c r="M389" s="1258"/>
      <c r="N389" s="1258"/>
      <c r="O389" s="1258"/>
      <c r="P389" s="1258"/>
      <c r="Q389" s="1258"/>
      <c r="R389" s="1258"/>
      <c r="S389" s="1258"/>
      <c r="T389" s="1258"/>
      <c r="U389" s="1258"/>
      <c r="V389" s="1258"/>
      <c r="W389" s="1258"/>
      <c r="X389" s="1258"/>
      <c r="Y389" s="1258"/>
      <c r="Z389" s="1258"/>
    </row>
    <row r="390" spans="10:26" s="1225" customFormat="1" ht="21.75" customHeight="1">
      <c r="J390" s="1258"/>
      <c r="K390" s="1258"/>
      <c r="L390" s="1258"/>
      <c r="M390" s="1258"/>
      <c r="N390" s="1258"/>
      <c r="O390" s="1258"/>
      <c r="P390" s="1258"/>
      <c r="Q390" s="1258"/>
      <c r="R390" s="1258"/>
      <c r="S390" s="1258"/>
      <c r="T390" s="1258"/>
      <c r="U390" s="1258"/>
      <c r="V390" s="1258"/>
      <c r="W390" s="1258"/>
      <c r="X390" s="1258"/>
      <c r="Y390" s="1258"/>
      <c r="Z390" s="1258"/>
    </row>
    <row r="391" spans="10:26" s="1225" customFormat="1" ht="21.75" customHeight="1">
      <c r="J391" s="1258"/>
      <c r="K391" s="1258"/>
      <c r="L391" s="1258"/>
      <c r="M391" s="1258"/>
      <c r="N391" s="1258"/>
      <c r="O391" s="1258"/>
      <c r="P391" s="1258"/>
      <c r="Q391" s="1258"/>
      <c r="R391" s="1258"/>
      <c r="S391" s="1258"/>
      <c r="T391" s="1258"/>
      <c r="U391" s="1258"/>
      <c r="V391" s="1258"/>
      <c r="W391" s="1258"/>
      <c r="X391" s="1258"/>
      <c r="Y391" s="1258"/>
      <c r="Z391" s="1258"/>
    </row>
    <row r="392" spans="10:26" s="1225" customFormat="1" ht="21.75" customHeight="1">
      <c r="J392" s="1258"/>
      <c r="K392" s="1258"/>
      <c r="L392" s="1258"/>
      <c r="M392" s="1258"/>
      <c r="N392" s="1258"/>
      <c r="O392" s="1258"/>
      <c r="P392" s="1258"/>
      <c r="Q392" s="1258"/>
      <c r="R392" s="1258"/>
      <c r="S392" s="1258"/>
      <c r="T392" s="1258"/>
      <c r="U392" s="1258"/>
      <c r="V392" s="1258"/>
      <c r="W392" s="1258"/>
      <c r="X392" s="1258"/>
      <c r="Y392" s="1258"/>
      <c r="Z392" s="1258"/>
    </row>
    <row r="393" spans="10:26" s="1225" customFormat="1" ht="21.75" customHeight="1">
      <c r="J393" s="1258"/>
      <c r="K393" s="1258"/>
      <c r="L393" s="1258"/>
      <c r="M393" s="1258"/>
      <c r="N393" s="1258"/>
      <c r="O393" s="1258"/>
      <c r="P393" s="1258"/>
      <c r="Q393" s="1258"/>
      <c r="R393" s="1258"/>
      <c r="S393" s="1258"/>
      <c r="T393" s="1258"/>
      <c r="U393" s="1258"/>
      <c r="V393" s="1258"/>
      <c r="W393" s="1258"/>
      <c r="X393" s="1258"/>
      <c r="Y393" s="1258"/>
      <c r="Z393" s="1258"/>
    </row>
    <row r="394" spans="10:26" s="1225" customFormat="1" ht="21.75" customHeight="1">
      <c r="J394" s="1258"/>
      <c r="K394" s="1258"/>
      <c r="L394" s="1258"/>
      <c r="M394" s="1258"/>
      <c r="N394" s="1258"/>
      <c r="O394" s="1258"/>
      <c r="P394" s="1258"/>
      <c r="Q394" s="1258"/>
      <c r="R394" s="1258"/>
      <c r="S394" s="1258"/>
      <c r="T394" s="1258"/>
      <c r="U394" s="1258"/>
      <c r="V394" s="1258"/>
      <c r="W394" s="1258"/>
      <c r="X394" s="1258"/>
      <c r="Y394" s="1258"/>
      <c r="Z394" s="1258"/>
    </row>
    <row r="395" spans="10:26" s="1225" customFormat="1" ht="21.75" customHeight="1">
      <c r="J395" s="1258"/>
      <c r="K395" s="1258"/>
      <c r="L395" s="1258"/>
      <c r="M395" s="1258"/>
      <c r="N395" s="1258"/>
      <c r="O395" s="1258"/>
      <c r="P395" s="1258"/>
      <c r="Q395" s="1258"/>
      <c r="R395" s="1258"/>
      <c r="S395" s="1258"/>
      <c r="T395" s="1258"/>
      <c r="U395" s="1258"/>
      <c r="V395" s="1258"/>
      <c r="W395" s="1258"/>
      <c r="X395" s="1258"/>
      <c r="Y395" s="1258"/>
      <c r="Z395" s="1258"/>
    </row>
    <row r="396" spans="10:26" s="1225" customFormat="1" ht="21.75" customHeight="1">
      <c r="J396" s="1258"/>
      <c r="K396" s="1258"/>
      <c r="L396" s="1258"/>
      <c r="M396" s="1258"/>
      <c r="N396" s="1258"/>
      <c r="O396" s="1258"/>
      <c r="P396" s="1258"/>
      <c r="Q396" s="1258"/>
      <c r="R396" s="1258"/>
      <c r="S396" s="1258"/>
      <c r="T396" s="1258"/>
      <c r="U396" s="1258"/>
      <c r="V396" s="1258"/>
      <c r="W396" s="1258"/>
      <c r="X396" s="1258"/>
      <c r="Y396" s="1258"/>
      <c r="Z396" s="1258"/>
    </row>
    <row r="397" spans="10:26" s="1225" customFormat="1" ht="21.75" customHeight="1">
      <c r="J397" s="1258"/>
      <c r="K397" s="1258"/>
      <c r="L397" s="1258"/>
      <c r="M397" s="1258"/>
      <c r="N397" s="1258"/>
      <c r="O397" s="1258"/>
      <c r="P397" s="1258"/>
      <c r="Q397" s="1258"/>
      <c r="R397" s="1258"/>
      <c r="S397" s="1258"/>
      <c r="T397" s="1258"/>
      <c r="U397" s="1258"/>
      <c r="V397" s="1258"/>
      <c r="W397" s="1258"/>
      <c r="X397" s="1258"/>
      <c r="Y397" s="1258"/>
      <c r="Z397" s="1258"/>
    </row>
    <row r="398" spans="10:26" s="1225" customFormat="1" ht="21.75" customHeight="1">
      <c r="J398" s="1258"/>
      <c r="K398" s="1258"/>
      <c r="L398" s="1258"/>
      <c r="M398" s="1258"/>
      <c r="N398" s="1258"/>
      <c r="O398" s="1258"/>
      <c r="P398" s="1258"/>
      <c r="Q398" s="1258"/>
      <c r="R398" s="1258"/>
      <c r="S398" s="1258"/>
      <c r="T398" s="1258"/>
      <c r="U398" s="1258"/>
      <c r="V398" s="1258"/>
      <c r="W398" s="1258"/>
      <c r="X398" s="1258"/>
      <c r="Y398" s="1258"/>
      <c r="Z398" s="1258"/>
    </row>
    <row r="399" spans="10:26" s="1225" customFormat="1" ht="21.75" customHeight="1">
      <c r="J399" s="1258"/>
      <c r="K399" s="1258"/>
      <c r="L399" s="1258"/>
      <c r="M399" s="1258"/>
      <c r="N399" s="1258"/>
      <c r="O399" s="1258"/>
      <c r="P399" s="1258"/>
      <c r="Q399" s="1258"/>
      <c r="R399" s="1258"/>
      <c r="S399" s="1258"/>
      <c r="T399" s="1258"/>
      <c r="U399" s="1258"/>
      <c r="V399" s="1258"/>
      <c r="W399" s="1258"/>
      <c r="X399" s="1258"/>
      <c r="Y399" s="1258"/>
      <c r="Z399" s="1258"/>
    </row>
    <row r="400" spans="10:26" s="1225" customFormat="1" ht="21.75" customHeight="1">
      <c r="J400" s="1258"/>
      <c r="K400" s="1258"/>
      <c r="L400" s="1258"/>
      <c r="M400" s="1258"/>
      <c r="N400" s="1258"/>
      <c r="O400" s="1258"/>
      <c r="P400" s="1258"/>
      <c r="Q400" s="1258"/>
      <c r="R400" s="1258"/>
      <c r="S400" s="1258"/>
      <c r="T400" s="1258"/>
      <c r="U400" s="1258"/>
      <c r="V400" s="1258"/>
      <c r="W400" s="1258"/>
      <c r="X400" s="1258"/>
      <c r="Y400" s="1258"/>
      <c r="Z400" s="1258"/>
    </row>
    <row r="401" spans="10:26" s="1225" customFormat="1" ht="21.75" customHeight="1">
      <c r="J401" s="1258"/>
      <c r="K401" s="1258"/>
      <c r="L401" s="1258"/>
      <c r="M401" s="1258"/>
      <c r="N401" s="1258"/>
      <c r="O401" s="1258"/>
      <c r="P401" s="1258"/>
      <c r="Q401" s="1258"/>
      <c r="R401" s="1258"/>
      <c r="S401" s="1258"/>
      <c r="T401" s="1258"/>
      <c r="U401" s="1258"/>
      <c r="V401" s="1258"/>
      <c r="W401" s="1258"/>
      <c r="X401" s="1258"/>
      <c r="Y401" s="1258"/>
      <c r="Z401" s="1258"/>
    </row>
    <row r="402" spans="10:26" s="1225" customFormat="1" ht="21.75" customHeight="1">
      <c r="J402" s="1258"/>
      <c r="K402" s="1258"/>
      <c r="L402" s="1258"/>
      <c r="M402" s="1258"/>
      <c r="N402" s="1258"/>
      <c r="O402" s="1258"/>
      <c r="P402" s="1258"/>
      <c r="Q402" s="1258"/>
      <c r="R402" s="1258"/>
      <c r="S402" s="1258"/>
      <c r="T402" s="1258"/>
      <c r="U402" s="1258"/>
      <c r="V402" s="1258"/>
      <c r="W402" s="1258"/>
      <c r="X402" s="1258"/>
      <c r="Y402" s="1258"/>
      <c r="Z402" s="1258"/>
    </row>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J516" s="1258"/>
      <c r="K516" s="1258"/>
      <c r="L516" s="1258"/>
      <c r="M516" s="1258"/>
      <c r="N516" s="1258"/>
      <c r="O516" s="1258"/>
      <c r="P516" s="1258"/>
      <c r="Q516" s="1258"/>
      <c r="R516" s="1258"/>
      <c r="S516" s="1258"/>
      <c r="T516" s="1258"/>
      <c r="U516" s="1258"/>
      <c r="V516" s="1258"/>
      <c r="W516" s="1258"/>
      <c r="X516" s="1258"/>
      <c r="Y516" s="1258"/>
      <c r="Z516" s="1258"/>
    </row>
    <row r="517" spans="6:26" s="1225" customFormat="1" ht="21.75" customHeight="1">
      <c r="J517" s="1258"/>
      <c r="K517" s="1258"/>
      <c r="L517" s="1258"/>
      <c r="M517" s="1258"/>
      <c r="N517" s="1258"/>
      <c r="O517" s="1258"/>
      <c r="P517" s="1258"/>
      <c r="Q517" s="1258"/>
      <c r="R517" s="1258"/>
      <c r="S517" s="1258"/>
      <c r="T517" s="1258"/>
      <c r="U517" s="1258"/>
      <c r="V517" s="1258"/>
      <c r="W517" s="1258"/>
      <c r="X517" s="1258"/>
      <c r="Y517" s="1258"/>
      <c r="Z517" s="1258"/>
    </row>
    <row r="518" spans="6:26" s="1225" customFormat="1" ht="21.75" customHeight="1">
      <c r="J518" s="1258"/>
      <c r="K518" s="1258"/>
      <c r="L518" s="1258"/>
      <c r="M518" s="1258"/>
      <c r="N518" s="1258"/>
      <c r="O518" s="1258"/>
      <c r="P518" s="1258"/>
      <c r="Q518" s="1258"/>
      <c r="R518" s="1258"/>
      <c r="S518" s="1258"/>
      <c r="T518" s="1258"/>
      <c r="U518" s="1258"/>
      <c r="V518" s="1258"/>
      <c r="W518" s="1258"/>
      <c r="X518" s="1258"/>
      <c r="Y518" s="1258"/>
      <c r="Z518" s="1258"/>
    </row>
    <row r="519" spans="6:26" s="1225" customFormat="1" ht="21.75" customHeight="1">
      <c r="F519" s="1059"/>
      <c r="G519" s="1059"/>
      <c r="H519" s="1059"/>
      <c r="I519" s="1059"/>
      <c r="J519" s="1258"/>
      <c r="K519" s="1258"/>
      <c r="L519" s="1258"/>
      <c r="M519" s="1258"/>
      <c r="N519" s="1258"/>
      <c r="O519" s="1258"/>
      <c r="P519" s="1258"/>
      <c r="Q519" s="1258"/>
      <c r="R519" s="1258"/>
      <c r="S519" s="1258"/>
      <c r="T519" s="1258"/>
      <c r="U519" s="1258"/>
      <c r="V519" s="1258"/>
      <c r="W519" s="1258"/>
      <c r="X519" s="1258"/>
      <c r="Y519" s="1258"/>
      <c r="Z519" s="125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8" priority="9" stopIfTrue="1" operator="equal">
      <formula>25</formula>
    </cfRule>
  </conditionalFormatting>
  <conditionalFormatting sqref="C8:C9">
    <cfRule type="cellIs" dxfId="147" priority="8" stopIfTrue="1" operator="equal">
      <formula>15</formula>
    </cfRule>
  </conditionalFormatting>
  <conditionalFormatting sqref="C14:C16">
    <cfRule type="cellIs" dxfId="146" priority="7" stopIfTrue="1" operator="equal">
      <formula>30</formula>
    </cfRule>
  </conditionalFormatting>
  <conditionalFormatting sqref="D5:D7">
    <cfRule type="cellIs" dxfId="145" priority="6" stopIfTrue="1" operator="equal">
      <formula>25</formula>
    </cfRule>
  </conditionalFormatting>
  <conditionalFormatting sqref="D8:D9">
    <cfRule type="cellIs" dxfId="144" priority="5" stopIfTrue="1" operator="equal">
      <formula>15</formula>
    </cfRule>
  </conditionalFormatting>
  <conditionalFormatting sqref="C10:D13">
    <cfRule type="cellIs" dxfId="143" priority="4" stopIfTrue="1" operator="equal">
      <formula>15</formula>
    </cfRule>
  </conditionalFormatting>
  <conditionalFormatting sqref="D14:D16">
    <cfRule type="cellIs" dxfId="142" priority="3" stopIfTrue="1" operator="equal">
      <formula>30</formula>
    </cfRule>
  </conditionalFormatting>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732</v>
      </c>
      <c r="B1" s="2321"/>
      <c r="C1" s="379"/>
      <c r="D1" s="379"/>
      <c r="E1" s="379"/>
      <c r="F1" s="379"/>
      <c r="G1" s="380"/>
    </row>
    <row r="2" spans="1:7" s="381" customFormat="1" ht="18" customHeight="1">
      <c r="A2" s="382" t="s">
        <v>733</v>
      </c>
      <c r="B2" s="383">
        <f ca="1">IF(D2="——",IF(C2="元",C52,ROUND(C52/10000,0)),IF(C2="元",C52,ROUND(C52/10000,0))-E2)</f>
        <v>251</v>
      </c>
      <c r="C2" s="32" t="str">
        <f>'数据-取费表'!B3</f>
        <v>万元</v>
      </c>
      <c r="D2" s="2654" t="s">
        <v>2899</v>
      </c>
      <c r="E2" s="2652" t="e">
        <f ca="1">SUMIF(INDIRECT("'"&amp;G2&amp;"'"&amp;"!A:A"),"承租人权益价值",INDIRECT("'"&amp;G2&amp;"'"&amp;"!c:c"))</f>
        <v>#REF!</v>
      </c>
      <c r="F2" s="2653" t="str">
        <f>C2</f>
        <v>万元</v>
      </c>
      <c r="G2" s="2655"/>
    </row>
    <row r="3" spans="1:7" s="381" customFormat="1" ht="18" customHeight="1" thickBot="1">
      <c r="A3" s="384" t="s">
        <v>734</v>
      </c>
      <c r="B3" s="385">
        <f ca="1">ROUND(C52/IF(B1="仅计算典型户型",'数据-取费表'!E5,'数据-取费表'!B5),0)</f>
        <v>9821</v>
      </c>
      <c r="C3" s="32" t="s">
        <v>773</v>
      </c>
      <c r="D3" s="380"/>
      <c r="E3" s="380"/>
      <c r="F3" s="380"/>
      <c r="G3" s="380"/>
    </row>
    <row r="4" spans="1:7" s="389" customFormat="1" ht="15.75">
      <c r="A4" s="386" t="s">
        <v>735</v>
      </c>
      <c r="B4" s="387"/>
      <c r="C4" s="387"/>
      <c r="D4" s="387"/>
      <c r="E4" s="387"/>
      <c r="F4" s="387"/>
      <c r="G4" s="388"/>
    </row>
    <row r="5" spans="1:7" s="392" customFormat="1" ht="13.5" customHeight="1">
      <c r="A5" s="421" t="s">
        <v>2247</v>
      </c>
      <c r="B5" s="390" t="s">
        <v>736</v>
      </c>
      <c r="C5" s="412">
        <f>C6+C7+C8</f>
        <v>1030500</v>
      </c>
      <c r="D5" s="412" t="s">
        <v>737</v>
      </c>
      <c r="E5" s="2638" t="s">
        <v>738</v>
      </c>
      <c r="F5" s="2638" t="s">
        <v>739</v>
      </c>
      <c r="G5" s="391"/>
    </row>
    <row r="6" spans="1:7" s="392" customFormat="1" ht="13.5" customHeight="1">
      <c r="A6" s="393" t="s">
        <v>2258</v>
      </c>
      <c r="B6" s="394" t="s">
        <v>740</v>
      </c>
      <c r="C6" s="2637">
        <v>1000000</v>
      </c>
      <c r="D6" s="2639"/>
      <c r="E6" s="2640"/>
      <c r="F6" s="2640"/>
      <c r="G6" s="396"/>
    </row>
    <row r="7" spans="1:7" s="392" customFormat="1" ht="13.5" customHeight="1">
      <c r="A7" s="393" t="s">
        <v>2259</v>
      </c>
      <c r="B7" s="394" t="s">
        <v>361</v>
      </c>
      <c r="C7" s="416">
        <f>ROUND(C6*F7,0)</f>
        <v>30500</v>
      </c>
      <c r="D7" s="416"/>
      <c r="E7" s="2640"/>
      <c r="F7" s="2641">
        <f>'数据-取费表'!E36+'数据-取费表'!E37</f>
        <v>3.0499999999999999E-2</v>
      </c>
      <c r="G7" s="396"/>
    </row>
    <row r="8" spans="1:7" s="397" customFormat="1">
      <c r="A8" s="393" t="s">
        <v>2260</v>
      </c>
      <c r="B8" s="394" t="s">
        <v>741</v>
      </c>
      <c r="C8" s="416">
        <f>IF(G8="已包含在土地购买价格中","0",'数据-取费表'!E13)</f>
        <v>0</v>
      </c>
      <c r="D8" s="2642"/>
      <c r="E8" s="416"/>
      <c r="F8" s="2641"/>
      <c r="G8" s="31"/>
    </row>
    <row r="9" spans="1:7" s="392" customFormat="1" ht="13.5" customHeight="1">
      <c r="A9" s="2284" t="s">
        <v>2263</v>
      </c>
      <c r="B9" s="398" t="s">
        <v>742</v>
      </c>
      <c r="C9" s="2643">
        <f>ROUND(D9*E9,0)</f>
        <v>40874</v>
      </c>
      <c r="D9" s="2644">
        <f>IF('数据-取费表'!B10="住宅",IF(B1="仅计算典型户型",'数据-取费表'!E5,'数据-取费表'!B5),0)</f>
        <v>255.46</v>
      </c>
      <c r="E9" s="2643">
        <f>'数据-取费表'!E11</f>
        <v>160</v>
      </c>
      <c r="F9" s="2641"/>
      <c r="G9" s="399"/>
    </row>
    <row r="10" spans="1:7" s="392" customFormat="1" ht="13.5" customHeight="1">
      <c r="A10" s="2284" t="s">
        <v>2264</v>
      </c>
      <c r="B10" s="398" t="s">
        <v>743</v>
      </c>
      <c r="C10" s="2643">
        <f>ROUND(D10*E10,0)</f>
        <v>0</v>
      </c>
      <c r="D10" s="2644">
        <f>IF('数据-取费表'!B10&lt;&gt;"住宅",IF(B1="仅计算典型户型",'数据-取费表'!E5,'数据-取费表'!B5),0)</f>
        <v>0</v>
      </c>
      <c r="E10" s="2643">
        <f>'数据-取费表'!E12</f>
        <v>0</v>
      </c>
      <c r="F10" s="2641"/>
      <c r="G10" s="399"/>
    </row>
    <row r="11" spans="1:7" s="392" customFormat="1" ht="13.5" hidden="1" customHeight="1">
      <c r="A11" s="393" t="s">
        <v>27</v>
      </c>
      <c r="B11" s="394" t="s">
        <v>744</v>
      </c>
      <c r="C11" s="412"/>
      <c r="D11" s="416"/>
      <c r="E11" s="2640"/>
      <c r="F11" s="2640"/>
      <c r="G11" s="396"/>
    </row>
    <row r="12" spans="1:7" s="392" customFormat="1" ht="13.5" hidden="1" customHeight="1">
      <c r="A12" s="393" t="s">
        <v>28</v>
      </c>
      <c r="B12" s="394" t="s">
        <v>745</v>
      </c>
      <c r="C12" s="412">
        <v>0</v>
      </c>
      <c r="D12" s="416"/>
      <c r="E12" s="2645"/>
      <c r="F12" s="2641">
        <v>3.0499999999999999E-2</v>
      </c>
      <c r="G12" s="396"/>
    </row>
    <row r="13" spans="1:7" s="392" customFormat="1" ht="13.5" hidden="1" customHeight="1">
      <c r="A13" s="393" t="s">
        <v>29</v>
      </c>
      <c r="B13" s="394" t="s">
        <v>746</v>
      </c>
      <c r="C13" s="412"/>
      <c r="D13" s="416"/>
      <c r="E13" s="2640"/>
      <c r="F13" s="2640"/>
      <c r="G13" s="396"/>
    </row>
    <row r="14" spans="1:7" s="392" customFormat="1" ht="13.5" hidden="1" customHeight="1">
      <c r="A14" s="393" t="s">
        <v>30</v>
      </c>
      <c r="B14" s="394" t="s">
        <v>741</v>
      </c>
      <c r="C14" s="412"/>
      <c r="D14" s="416"/>
      <c r="E14" s="2640"/>
      <c r="F14" s="2640"/>
      <c r="G14" s="396" t="s">
        <v>747</v>
      </c>
    </row>
    <row r="15" spans="1:7" s="392" customFormat="1" ht="13.5" hidden="1" customHeight="1">
      <c r="A15" s="393" t="s">
        <v>31</v>
      </c>
      <c r="B15" s="394" t="s">
        <v>748</v>
      </c>
      <c r="C15" s="416"/>
      <c r="D15" s="416"/>
      <c r="E15" s="2640"/>
      <c r="F15" s="2640"/>
      <c r="G15" s="396" t="s">
        <v>749</v>
      </c>
    </row>
    <row r="16" spans="1:7" s="392" customFormat="1" ht="13.5" hidden="1" customHeight="1">
      <c r="A16" s="393" t="s">
        <v>32</v>
      </c>
      <c r="B16" s="394" t="s">
        <v>741</v>
      </c>
      <c r="C16" s="416"/>
      <c r="D16" s="416"/>
      <c r="E16" s="2640"/>
      <c r="F16" s="2640"/>
      <c r="G16" s="396"/>
    </row>
    <row r="17" spans="1:7" s="392" customFormat="1" ht="13.5" hidden="1" customHeight="1">
      <c r="A17" s="393" t="s">
        <v>33</v>
      </c>
      <c r="B17" s="394" t="s">
        <v>750</v>
      </c>
      <c r="C17" s="2646"/>
      <c r="D17" s="2646"/>
      <c r="E17" s="2646"/>
      <c r="F17" s="2646"/>
      <c r="G17" s="396" t="s">
        <v>749</v>
      </c>
    </row>
    <row r="18" spans="1:7" s="392" customFormat="1" ht="13.5" hidden="1" customHeight="1">
      <c r="A18" s="393" t="s">
        <v>34</v>
      </c>
      <c r="B18" s="394" t="s">
        <v>751</v>
      </c>
      <c r="C18" s="416">
        <v>0</v>
      </c>
      <c r="D18" s="416"/>
      <c r="E18" s="2640"/>
      <c r="F18" s="2641">
        <v>3.0499999999999999E-2</v>
      </c>
      <c r="G18" s="396" t="s">
        <v>752</v>
      </c>
    </row>
    <row r="19" spans="1:7" s="397" customFormat="1" ht="13.5" customHeight="1">
      <c r="A19" s="421" t="s">
        <v>2248</v>
      </c>
      <c r="B19" s="390" t="s">
        <v>1858</v>
      </c>
      <c r="C19" s="412">
        <f>IF(G19="已包含在土地取得成本中","0",ROUND(D19*E19,0))</f>
        <v>40874</v>
      </c>
      <c r="D19" s="2647">
        <f>IF(B1="仅计算典型户型",'数据-取费表'!E5,'数据-取费表'!B5)</f>
        <v>255.46</v>
      </c>
      <c r="E19" s="412">
        <f>'数据-取费表'!E15</f>
        <v>160</v>
      </c>
      <c r="F19" s="413"/>
      <c r="G19" s="31"/>
    </row>
    <row r="20" spans="1:7" s="392" customFormat="1" ht="13.5" customHeight="1">
      <c r="A20" s="421" t="s">
        <v>2249</v>
      </c>
      <c r="B20" s="390" t="s">
        <v>753</v>
      </c>
      <c r="C20" s="400">
        <f>ROUND((C5+C19)*F20,0)</f>
        <v>21427</v>
      </c>
      <c r="D20" s="400"/>
      <c r="E20" s="400"/>
      <c r="F20" s="404">
        <f>'数据-取费表'!E25</f>
        <v>0.02</v>
      </c>
      <c r="G20" s="2436" t="s">
        <v>2432</v>
      </c>
    </row>
    <row r="21" spans="1:7" s="392" customFormat="1" ht="13.5" customHeight="1">
      <c r="A21" s="421" t="s">
        <v>2250</v>
      </c>
      <c r="B21" s="390" t="s">
        <v>754</v>
      </c>
      <c r="C21" s="402">
        <f>F21</f>
        <v>0.02</v>
      </c>
      <c r="D21" s="403" t="s">
        <v>770</v>
      </c>
      <c r="E21" s="400"/>
      <c r="F21" s="404">
        <f>'数据-取费表'!E26</f>
        <v>0.02</v>
      </c>
      <c r="G21" s="401" t="s">
        <v>755</v>
      </c>
    </row>
    <row r="22" spans="1:7" s="392" customFormat="1" ht="13.5" customHeight="1">
      <c r="A22" s="421" t="s">
        <v>2251</v>
      </c>
      <c r="B22" s="390" t="s">
        <v>756</v>
      </c>
      <c r="C22" s="422">
        <f ca="1">ROUND(SUM(C23:C25),0)</f>
        <v>105216</v>
      </c>
      <c r="D22" s="402">
        <f ca="1">C26</f>
        <v>1E-3</v>
      </c>
      <c r="E22" s="403" t="s">
        <v>770</v>
      </c>
      <c r="F22" s="404">
        <f ca="1">'数据-取费表'!E27</f>
        <v>4.7500000000000001E-2</v>
      </c>
      <c r="G22" s="2436" t="str">
        <f>IF('数据-取费表'!B23&lt;=1,"单利计息。","复利计息。")</f>
        <v>复利计息。</v>
      </c>
    </row>
    <row r="23" spans="1:7" s="392" customFormat="1" ht="13.5" customHeight="1">
      <c r="A23" s="393" t="s">
        <v>2258</v>
      </c>
      <c r="B23" s="394" t="s">
        <v>2428</v>
      </c>
      <c r="C23" s="2527">
        <f ca="1">ROUND(IF('数据-取费表'!B23&lt;=1,C5*F22*'数据-取费表'!B24,C5*(POWER((1+F22),'数据-取费表'!B24)-1)),0)</f>
        <v>100223</v>
      </c>
      <c r="D23" s="405"/>
      <c r="E23" s="405"/>
      <c r="F23" s="406"/>
      <c r="G23" s="407" t="s">
        <v>757</v>
      </c>
    </row>
    <row r="24" spans="1:7" s="392" customFormat="1" ht="13.5" customHeight="1">
      <c r="A24" s="393" t="s">
        <v>2259</v>
      </c>
      <c r="B24" s="394" t="s">
        <v>2429</v>
      </c>
      <c r="C24" s="2527">
        <f ca="1">ROUND(IF('数据-取费表'!B23&lt;=1,C19*F22*('数据-取费表'!B20/2+'数据-取费表'!B22),C19*(POWER((1+F22),('数据-取费表'!B20/2+'数据-取费表'!B22))-1)),0)</f>
        <v>3975</v>
      </c>
      <c r="D24" s="405"/>
      <c r="E24" s="405"/>
      <c r="F24" s="406"/>
      <c r="G24" s="407" t="s">
        <v>758</v>
      </c>
    </row>
    <row r="25" spans="1:7" s="392" customFormat="1" ht="24">
      <c r="A25" s="393" t="s">
        <v>2260</v>
      </c>
      <c r="B25" s="394" t="s">
        <v>2430</v>
      </c>
      <c r="C25" s="2527">
        <f ca="1">ROUND(IF('数据-取费表'!B23&lt;=1,C20*F22*'数据-取费表'!B24/2,C20*(POWER((1+F22),'数据-取费表'!B24/2)-1)),0)</f>
        <v>1018</v>
      </c>
      <c r="D25" s="405"/>
      <c r="E25" s="408"/>
      <c r="F25" s="406"/>
      <c r="G25" s="409" t="s">
        <v>759</v>
      </c>
    </row>
    <row r="26" spans="1:7" s="392" customFormat="1">
      <c r="A26" s="393" t="s">
        <v>2261</v>
      </c>
      <c r="B26" s="394" t="s">
        <v>2431</v>
      </c>
      <c r="C26" s="405">
        <f ca="1">ROUND(IF('数据-取费表'!B23&lt;=1,F21*F22*'数据-取费表'!B24/2,F21*(POWER((1+F22),'数据-取费表'!B24/2)-1)),4)</f>
        <v>1E-3</v>
      </c>
      <c r="D26" s="405"/>
      <c r="E26" s="408"/>
      <c r="F26" s="406"/>
      <c r="G26" s="410"/>
    </row>
    <row r="27" spans="1:7" s="392" customFormat="1" ht="25.5">
      <c r="A27" s="2285" t="s">
        <v>2252</v>
      </c>
      <c r="B27" s="411" t="s">
        <v>760</v>
      </c>
      <c r="C27" s="412">
        <f>C28</f>
        <v>218560</v>
      </c>
      <c r="D27" s="402">
        <f>C29</f>
        <v>4.0000000000000001E-3</v>
      </c>
      <c r="E27" s="403" t="s">
        <v>770</v>
      </c>
      <c r="F27" s="413">
        <f>'数据-取费表'!E28</f>
        <v>0.2</v>
      </c>
      <c r="G27" s="414" t="s">
        <v>2433</v>
      </c>
    </row>
    <row r="28" spans="1:7" s="392" customFormat="1" ht="13.5" customHeight="1">
      <c r="A28" s="393" t="s">
        <v>2258</v>
      </c>
      <c r="B28" s="415" t="s">
        <v>2435</v>
      </c>
      <c r="C28" s="416">
        <f>ROUND((C5+C19+C20)*F27*'数据-取费表'!B22/'数据-取费表'!B21,0)</f>
        <v>218560</v>
      </c>
      <c r="D28" s="402"/>
      <c r="E28" s="403"/>
      <c r="F28" s="413"/>
      <c r="G28" s="414"/>
    </row>
    <row r="29" spans="1:7" s="392" customFormat="1" ht="13.5" customHeight="1">
      <c r="A29" s="393" t="s">
        <v>2259</v>
      </c>
      <c r="B29" s="415" t="s">
        <v>2436</v>
      </c>
      <c r="C29" s="405">
        <f>ROUND(C21*F27*'数据-取费表'!B22/'数据-取费表'!B21,4)</f>
        <v>4.0000000000000001E-3</v>
      </c>
      <c r="D29" s="402"/>
      <c r="E29" s="403"/>
      <c r="F29" s="413"/>
      <c r="G29" s="414"/>
    </row>
    <row r="30" spans="1:7" s="392" customFormat="1" ht="13.5" customHeight="1">
      <c r="A30" s="2285" t="s">
        <v>2253</v>
      </c>
      <c r="B30" s="390" t="s">
        <v>362</v>
      </c>
      <c r="C30" s="402">
        <f>ROUND(F30/(1+'数据-取费表'!F30),4)</f>
        <v>5.33E-2</v>
      </c>
      <c r="D30" s="403" t="s">
        <v>2803</v>
      </c>
      <c r="E30" s="408"/>
      <c r="F30" s="404">
        <f>'数据-取费表'!E29</f>
        <v>5.6000000000000001E-2</v>
      </c>
      <c r="G30" s="2436" t="s">
        <v>2804</v>
      </c>
    </row>
    <row r="31" spans="1:7" ht="16.5" customHeight="1">
      <c r="A31" s="421">
        <v>1</v>
      </c>
      <c r="B31" s="390" t="s">
        <v>771</v>
      </c>
      <c r="C31" s="412">
        <f ca="1">ROUND((C5+C19+C20+C22+C27)/(1-C21-D22-D27-C30),0)</f>
        <v>1536918</v>
      </c>
      <c r="D31" s="2647"/>
      <c r="E31" s="412"/>
      <c r="F31" s="2648"/>
      <c r="G31" s="2436" t="s">
        <v>2434</v>
      </c>
    </row>
    <row r="32" spans="1:7" s="389" customFormat="1" ht="15.75">
      <c r="A32" s="418" t="s">
        <v>761</v>
      </c>
      <c r="B32" s="419"/>
      <c r="C32" s="2649"/>
      <c r="D32" s="2649"/>
      <c r="E32" s="2649"/>
      <c r="F32" s="2649"/>
      <c r="G32" s="420"/>
    </row>
    <row r="33" spans="1:7" s="392" customFormat="1" ht="13.5" customHeight="1">
      <c r="A33" s="421" t="s">
        <v>2254</v>
      </c>
      <c r="B33" s="390" t="s">
        <v>762</v>
      </c>
      <c r="C33" s="422">
        <f>SUM(C34:C38)</f>
        <v>880060</v>
      </c>
      <c r="D33" s="400"/>
      <c r="E33" s="2638"/>
      <c r="F33" s="408"/>
      <c r="G33" s="401"/>
    </row>
    <row r="34" spans="1:7" s="423" customFormat="1" ht="13.5" customHeight="1">
      <c r="A34" s="393" t="s">
        <v>2258</v>
      </c>
      <c r="B34" s="394" t="s">
        <v>363</v>
      </c>
      <c r="C34" s="416">
        <f>IF(B1="仅计算典型户型",'数据-取费表'!F18,'数据-取费表'!E18)</f>
        <v>766380</v>
      </c>
      <c r="D34" s="2639"/>
      <c r="E34" s="416"/>
      <c r="F34" s="2650" t="str">
        <f>IF('数据-取费表'!B25=0,"",'数据-取费表'!E20)</f>
        <v/>
      </c>
      <c r="G34" s="396"/>
    </row>
    <row r="35" spans="1:7" ht="13.5" customHeight="1">
      <c r="A35" s="393" t="s">
        <v>2259</v>
      </c>
      <c r="B35" s="394" t="s">
        <v>364</v>
      </c>
      <c r="C35" s="416">
        <f>ROUND(C34*F35,0)</f>
        <v>22991</v>
      </c>
      <c r="D35" s="416"/>
      <c r="E35" s="416"/>
      <c r="F35" s="2651">
        <f>'数据-取费表'!E21</f>
        <v>0.03</v>
      </c>
      <c r="G35" s="396" t="s">
        <v>763</v>
      </c>
    </row>
    <row r="36" spans="1:7" ht="24">
      <c r="A36" s="393" t="s">
        <v>2260</v>
      </c>
      <c r="B36" s="394" t="s">
        <v>365</v>
      </c>
      <c r="C36" s="416">
        <f>ROUND(IF('数据-取费表'!B10="住宅",C34*F36,0),0)</f>
        <v>38319</v>
      </c>
      <c r="D36" s="416"/>
      <c r="E36" s="416"/>
      <c r="F36" s="2651">
        <f>'数据-取费表'!E22</f>
        <v>0.05</v>
      </c>
      <c r="G36" s="424" t="s">
        <v>366</v>
      </c>
    </row>
    <row r="37" spans="1:7" s="423" customFormat="1" ht="13.5" customHeight="1">
      <c r="A37" s="393" t="s">
        <v>2261</v>
      </c>
      <c r="B37" s="394" t="s">
        <v>764</v>
      </c>
      <c r="C37" s="416">
        <f>ROUND(E37*D37,0)</f>
        <v>40874</v>
      </c>
      <c r="D37" s="2639">
        <f>IF(B1="仅计算典型户型",'数据-取费表'!E5,'数据-取费表'!B5)</f>
        <v>255.46</v>
      </c>
      <c r="E37" s="416">
        <f>'数据-取费表'!E23</f>
        <v>160</v>
      </c>
      <c r="F37" s="2651"/>
      <c r="G37" s="425" t="s">
        <v>765</v>
      </c>
    </row>
    <row r="38" spans="1:7" ht="13.5" customHeight="1">
      <c r="A38" s="393" t="s">
        <v>2262</v>
      </c>
      <c r="B38" s="394" t="s">
        <v>367</v>
      </c>
      <c r="C38" s="416">
        <f>ROUND(C34*F38,0)</f>
        <v>11496</v>
      </c>
      <c r="D38" s="416"/>
      <c r="E38" s="416"/>
      <c r="F38" s="2651">
        <f>'数据-取费表'!E24</f>
        <v>1.4999999999999999E-2</v>
      </c>
      <c r="G38" s="396" t="s">
        <v>763</v>
      </c>
    </row>
    <row r="39" spans="1:7" s="392" customFormat="1" ht="13.5" customHeight="1">
      <c r="A39" s="421" t="s">
        <v>2248</v>
      </c>
      <c r="B39" s="390" t="s">
        <v>753</v>
      </c>
      <c r="C39" s="400">
        <f>ROUND(C33*F20,0)</f>
        <v>17601</v>
      </c>
      <c r="D39" s="400"/>
      <c r="E39" s="400"/>
      <c r="F39" s="404"/>
      <c r="G39" s="2436" t="s">
        <v>2439</v>
      </c>
    </row>
    <row r="40" spans="1:7" s="392" customFormat="1" ht="13.5" customHeight="1">
      <c r="A40" s="421" t="s">
        <v>2249</v>
      </c>
      <c r="B40" s="390" t="s">
        <v>754</v>
      </c>
      <c r="C40" s="3001">
        <f>F21</f>
        <v>0.02</v>
      </c>
      <c r="D40" s="403" t="s">
        <v>772</v>
      </c>
      <c r="E40" s="400"/>
      <c r="F40" s="404"/>
      <c r="G40" s="401" t="s">
        <v>766</v>
      </c>
    </row>
    <row r="41" spans="1:7" s="392" customFormat="1" ht="13.5" customHeight="1">
      <c r="A41" s="421" t="s">
        <v>2250</v>
      </c>
      <c r="B41" s="390" t="s">
        <v>756</v>
      </c>
      <c r="C41" s="400">
        <f ca="1">ROUND(SUM(C42:C43),0)</f>
        <v>42639</v>
      </c>
      <c r="D41" s="402">
        <f ca="1">C44</f>
        <v>1E-3</v>
      </c>
      <c r="E41" s="403" t="s">
        <v>772</v>
      </c>
      <c r="F41" s="404"/>
      <c r="G41" s="2436" t="str">
        <f>IF('数据-取费表'!B23&lt;=1,"单利计息。","复利计息。")</f>
        <v>复利计息。</v>
      </c>
    </row>
    <row r="42" spans="1:7" ht="13.5" customHeight="1">
      <c r="A42" s="393" t="s">
        <v>2258</v>
      </c>
      <c r="B42" s="394" t="s">
        <v>2428</v>
      </c>
      <c r="C42" s="405">
        <f ca="1">ROUND(IF('数据-取费表'!B23&lt;=1,C33*F22*'数据-取费表'!B22/2,C33*(POWER((1+F22),'数据-取费表'!B22/2)-1)),0)</f>
        <v>41803</v>
      </c>
      <c r="D42" s="405"/>
      <c r="E42" s="405"/>
      <c r="F42" s="406"/>
      <c r="G42" s="3372" t="s">
        <v>2522</v>
      </c>
    </row>
    <row r="43" spans="1:7" ht="13.5" customHeight="1">
      <c r="A43" s="393" t="s">
        <v>2259</v>
      </c>
      <c r="B43" s="394" t="s">
        <v>2429</v>
      </c>
      <c r="C43" s="405">
        <f ca="1">ROUND(IF('数据-取费表'!B23&lt;=1,C39*F22*'数据-取费表'!B22/2,C39*(POWER((1+F22),'数据-取费表'!B22/2)-1)),0)</f>
        <v>836</v>
      </c>
      <c r="D43" s="405"/>
      <c r="E43" s="405"/>
      <c r="F43" s="406"/>
      <c r="G43" s="3373"/>
    </row>
    <row r="44" spans="1:7" ht="13.5" customHeight="1">
      <c r="A44" s="393" t="s">
        <v>2260</v>
      </c>
      <c r="B44" s="394" t="s">
        <v>2430</v>
      </c>
      <c r="C44" s="405">
        <f ca="1">ROUND(IF('数据-取费表'!B23&lt;=1,C40*F22*'数据-取费表'!B22/2,C40*(POWER((1+F22),'数据-取费表'!B22/2)-1)),4)</f>
        <v>1E-3</v>
      </c>
      <c r="D44" s="405"/>
      <c r="E44" s="405"/>
      <c r="F44" s="406"/>
      <c r="G44" s="3374"/>
    </row>
    <row r="45" spans="1:7" s="392" customFormat="1" ht="13.5" customHeight="1">
      <c r="A45" s="421" t="s">
        <v>2251</v>
      </c>
      <c r="B45" s="411" t="s">
        <v>760</v>
      </c>
      <c r="C45" s="412">
        <f>C46</f>
        <v>179532</v>
      </c>
      <c r="D45" s="402">
        <f>C47</f>
        <v>4.0000000000000001E-3</v>
      </c>
      <c r="E45" s="403" t="s">
        <v>772</v>
      </c>
      <c r="F45" s="413"/>
      <c r="G45" s="414" t="s">
        <v>2440</v>
      </c>
    </row>
    <row r="46" spans="1:7" s="392" customFormat="1" ht="13.5" customHeight="1">
      <c r="A46" s="393" t="s">
        <v>2258</v>
      </c>
      <c r="B46" s="415" t="s">
        <v>2437</v>
      </c>
      <c r="C46" s="416">
        <f>ROUND((C33+C39)*F27,0)</f>
        <v>179532</v>
      </c>
      <c r="D46" s="426"/>
      <c r="E46" s="403"/>
      <c r="F46" s="413"/>
      <c r="G46" s="414"/>
    </row>
    <row r="47" spans="1:7" s="392" customFormat="1" ht="13.5" customHeight="1">
      <c r="A47" s="393" t="s">
        <v>2259</v>
      </c>
      <c r="B47" s="415" t="s">
        <v>2438</v>
      </c>
      <c r="C47" s="405">
        <f>ROUND(C40*F27,4)</f>
        <v>4.0000000000000001E-3</v>
      </c>
      <c r="D47" s="426"/>
      <c r="E47" s="403"/>
      <c r="F47" s="413"/>
      <c r="G47" s="414"/>
    </row>
    <row r="48" spans="1:7" s="392" customFormat="1" ht="13.5" customHeight="1">
      <c r="A48" s="2285" t="s">
        <v>2252</v>
      </c>
      <c r="B48" s="390" t="s">
        <v>767</v>
      </c>
      <c r="C48" s="3001">
        <f>ROUND(F30/(1+'数据-取费表'!F30),4)</f>
        <v>5.33E-2</v>
      </c>
      <c r="D48" s="403" t="s">
        <v>2805</v>
      </c>
      <c r="E48" s="400"/>
      <c r="F48" s="404"/>
      <c r="G48" s="2436" t="s">
        <v>2806</v>
      </c>
    </row>
    <row r="49" spans="1:7" ht="16.5" customHeight="1">
      <c r="A49" s="2285" t="s">
        <v>2255</v>
      </c>
      <c r="B49" s="390" t="s">
        <v>1857</v>
      </c>
      <c r="C49" s="400">
        <f ca="1">ROUND((C33+C39+C41+C45)/(1-C40-D41-D45-C48),0)</f>
        <v>1214964</v>
      </c>
      <c r="D49" s="400"/>
      <c r="E49" s="400"/>
      <c r="F49" s="427"/>
      <c r="G49" s="2436" t="s">
        <v>2441</v>
      </c>
    </row>
    <row r="50" spans="1:7" s="423" customFormat="1" ht="24">
      <c r="A50" s="2285" t="s">
        <v>2256</v>
      </c>
      <c r="B50" s="390" t="s">
        <v>768</v>
      </c>
      <c r="C50" s="400"/>
      <c r="D50" s="400"/>
      <c r="E50" s="400"/>
      <c r="F50" s="427">
        <f>IF('数据-取费表'!B25=0,'数据-取费表'!E20,1)</f>
        <v>0.8</v>
      </c>
      <c r="G50" s="414" t="s">
        <v>769</v>
      </c>
    </row>
    <row r="51" spans="1:7" ht="16.5" customHeight="1">
      <c r="A51" s="2285" t="s">
        <v>2257</v>
      </c>
      <c r="B51" s="390" t="s">
        <v>1859</v>
      </c>
      <c r="C51" s="400">
        <f ca="1">ROUND(C49*F50,0)</f>
        <v>971971</v>
      </c>
      <c r="D51" s="400"/>
      <c r="E51" s="400"/>
      <c r="F51" s="427"/>
      <c r="G51" s="401" t="s">
        <v>368</v>
      </c>
    </row>
    <row r="52" spans="1:7" s="389" customFormat="1" ht="16.5" thickBot="1">
      <c r="A52" s="428" t="s">
        <v>369</v>
      </c>
      <c r="B52" s="429"/>
      <c r="C52" s="430">
        <f ca="1">C31+C51</f>
        <v>2508889</v>
      </c>
      <c r="D52" s="429"/>
      <c r="E52" s="429"/>
      <c r="F52" s="429"/>
      <c r="G52" s="431"/>
    </row>
    <row r="55" spans="1:7" ht="15">
      <c r="B55" s="433" t="s">
        <v>370</v>
      </c>
      <c r="C55" s="434"/>
    </row>
    <row r="56" spans="1:7">
      <c r="B56" s="436" t="s">
        <v>371</v>
      </c>
      <c r="C56" s="437">
        <f ca="1">ROUND(C51/C52,3)</f>
        <v>0.38700000000000001</v>
      </c>
    </row>
    <row r="57" spans="1:7">
      <c r="B57" s="436" t="s">
        <v>372</v>
      </c>
      <c r="C57" s="438">
        <f ca="1">1-C56</f>
        <v>0.61299999999999999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774</v>
      </c>
      <c r="B1" s="439"/>
      <c r="C1" s="2321" t="s">
        <v>2292</v>
      </c>
      <c r="D1" s="2522"/>
      <c r="E1" s="2126"/>
      <c r="F1" s="2126"/>
      <c r="G1" s="2126"/>
      <c r="H1" s="2126"/>
      <c r="I1" s="2126"/>
      <c r="J1" s="2126"/>
      <c r="K1" s="2126"/>
    </row>
    <row r="2" spans="1:33" s="440" customFormat="1" ht="18" customHeight="1">
      <c r="A2" s="382" t="s">
        <v>733</v>
      </c>
      <c r="B2" s="385">
        <f ca="1">IF(C2="元",C32,ROUND(C32/10000,0))</f>
        <v>0</v>
      </c>
      <c r="C2" s="35" t="str">
        <f>'数据-取费表'!B3</f>
        <v>万元</v>
      </c>
      <c r="D2" s="2126"/>
      <c r="E2" s="2126"/>
      <c r="F2" s="2126"/>
      <c r="G2" s="2126"/>
      <c r="H2" s="2126"/>
      <c r="I2" s="2126"/>
      <c r="J2" s="2126"/>
      <c r="K2" s="2126"/>
    </row>
    <row r="3" spans="1:33" s="440" customFormat="1" ht="18" customHeight="1" thickBot="1">
      <c r="A3" s="384" t="s">
        <v>734</v>
      </c>
      <c r="B3" s="385" t="e">
        <f ca="1">ROUND(C32/IF(C1="仅计算典型户型",'数据-取费表'!E5,'数据-取费表'!B5),0)</f>
        <v>#DIV/0!</v>
      </c>
      <c r="C3" s="35" t="s">
        <v>773</v>
      </c>
      <c r="D3" s="2126"/>
      <c r="E3" s="2126"/>
      <c r="F3" s="2126"/>
      <c r="G3" s="2126"/>
      <c r="H3" s="2126"/>
      <c r="I3" s="2126"/>
      <c r="J3" s="2126"/>
      <c r="K3" s="2126"/>
    </row>
    <row r="4" spans="1:33" s="444" customFormat="1" ht="16.5" customHeight="1">
      <c r="A4" s="441" t="s">
        <v>775</v>
      </c>
      <c r="B4" s="442"/>
      <c r="C4" s="2521">
        <f>SUM(C8:K8)</f>
        <v>0</v>
      </c>
      <c r="D4" s="442"/>
      <c r="E4" s="442"/>
      <c r="F4" s="442"/>
      <c r="G4" s="442"/>
      <c r="H4" s="442"/>
      <c r="I4" s="442"/>
      <c r="J4" s="442"/>
      <c r="K4" s="443"/>
      <c r="L4" s="1220"/>
      <c r="M4" s="1220"/>
      <c r="N4" s="1220"/>
      <c r="O4" s="1220"/>
      <c r="P4" s="1220"/>
      <c r="Q4" s="1220"/>
      <c r="R4" s="1220"/>
      <c r="S4" s="1220"/>
      <c r="T4" s="1220"/>
      <c r="U4" s="1220"/>
      <c r="V4" s="1220"/>
      <c r="W4" s="1220"/>
      <c r="X4" s="1220"/>
      <c r="Y4" s="1220"/>
      <c r="Z4" s="1220"/>
      <c r="AA4" s="1220"/>
      <c r="AB4" s="1220"/>
      <c r="AC4" s="1220"/>
      <c r="AD4" s="1220"/>
      <c r="AE4" s="1220"/>
      <c r="AF4" s="1220"/>
      <c r="AG4" s="1220"/>
    </row>
    <row r="5" spans="1:33" s="447" customFormat="1" ht="15.75">
      <c r="A5" s="445" t="s">
        <v>776</v>
      </c>
      <c r="B5" s="446" t="s">
        <v>777</v>
      </c>
      <c r="C5" s="455"/>
      <c r="D5" s="455"/>
      <c r="E5" s="455"/>
      <c r="F5" s="455"/>
      <c r="G5" s="455"/>
      <c r="H5" s="455"/>
      <c r="I5" s="455"/>
      <c r="J5" s="455"/>
      <c r="K5" s="456"/>
      <c r="L5" s="1221"/>
      <c r="M5" s="1221"/>
      <c r="N5" s="1221"/>
      <c r="O5" s="1221"/>
      <c r="P5" s="1221"/>
      <c r="Q5" s="1221"/>
      <c r="R5" s="1221"/>
      <c r="S5" s="1221"/>
      <c r="T5" s="1221"/>
      <c r="U5" s="1221"/>
      <c r="V5" s="1221"/>
      <c r="W5" s="1221"/>
      <c r="X5" s="1221"/>
      <c r="Y5" s="1221"/>
      <c r="Z5" s="1221"/>
      <c r="AA5" s="1221"/>
      <c r="AB5" s="1221"/>
      <c r="AC5" s="1221"/>
      <c r="AD5" s="1221"/>
      <c r="AE5" s="1221"/>
      <c r="AF5" s="1221"/>
      <c r="AG5" s="1221"/>
    </row>
    <row r="6" spans="1:33" s="450" customFormat="1" ht="13.5" customHeight="1">
      <c r="A6" s="2286" t="s">
        <v>2265</v>
      </c>
      <c r="B6" s="448" t="s">
        <v>778</v>
      </c>
      <c r="C6" s="449">
        <v>35000</v>
      </c>
      <c r="D6" s="2518"/>
      <c r="E6" s="2518"/>
      <c r="F6" s="2518"/>
      <c r="G6" s="2518"/>
      <c r="H6" s="2518"/>
      <c r="I6" s="2518"/>
      <c r="J6" s="2518"/>
      <c r="K6" s="2519"/>
      <c r="L6" s="1222"/>
      <c r="M6" s="1222"/>
      <c r="N6" s="1222"/>
      <c r="O6" s="1222"/>
      <c r="P6" s="1222"/>
      <c r="Q6" s="1222"/>
      <c r="R6" s="1222"/>
      <c r="S6" s="1222"/>
      <c r="T6" s="1222"/>
      <c r="U6" s="1222"/>
      <c r="V6" s="1222"/>
      <c r="W6" s="1222"/>
      <c r="X6" s="1222"/>
      <c r="Y6" s="1222"/>
      <c r="Z6" s="1222"/>
      <c r="AA6" s="1222"/>
      <c r="AB6" s="1222"/>
      <c r="AC6" s="1222"/>
      <c r="AD6" s="1222"/>
      <c r="AE6" s="1222"/>
      <c r="AF6" s="1222"/>
      <c r="AG6" s="1222"/>
    </row>
    <row r="7" spans="1:33" s="450" customFormat="1" ht="13.5" customHeight="1">
      <c r="A7" s="2287" t="s">
        <v>2266</v>
      </c>
      <c r="B7" s="448" t="s">
        <v>779</v>
      </c>
      <c r="C7" s="451">
        <f>IF(C1="仅计算典型户型",'数据-取费表'!E5,'数据-取费表'!B5)</f>
        <v>0</v>
      </c>
      <c r="D7" s="451"/>
      <c r="E7" s="451"/>
      <c r="F7" s="451"/>
      <c r="G7" s="451"/>
      <c r="H7" s="451"/>
      <c r="I7" s="451"/>
      <c r="J7" s="451"/>
      <c r="K7" s="452"/>
      <c r="L7" s="1222"/>
      <c r="M7" s="1222"/>
      <c r="N7" s="1222"/>
      <c r="O7" s="1222"/>
      <c r="P7" s="1222"/>
      <c r="Q7" s="1222"/>
      <c r="R7" s="1222"/>
      <c r="S7" s="1222"/>
      <c r="T7" s="1222"/>
      <c r="U7" s="1222"/>
      <c r="V7" s="1222"/>
      <c r="W7" s="1222"/>
      <c r="X7" s="1222"/>
      <c r="Y7" s="1222"/>
      <c r="Z7" s="1222"/>
      <c r="AA7" s="1222"/>
      <c r="AB7" s="1222"/>
      <c r="AC7" s="1222"/>
      <c r="AD7" s="1222"/>
      <c r="AE7" s="1222"/>
      <c r="AF7" s="1222"/>
      <c r="AG7" s="1222"/>
    </row>
    <row r="8" spans="1:33" s="450" customFormat="1" ht="13.5" customHeight="1">
      <c r="A8" s="2288" t="s">
        <v>2267</v>
      </c>
      <c r="B8" s="448" t="s">
        <v>780</v>
      </c>
      <c r="C8" s="1085">
        <f>C6*C7</f>
        <v>0</v>
      </c>
      <c r="D8" s="2520"/>
      <c r="E8" s="2520"/>
      <c r="F8" s="2518"/>
      <c r="G8" s="2518"/>
      <c r="H8" s="2518"/>
      <c r="I8" s="2518"/>
      <c r="J8" s="2518"/>
      <c r="K8" s="2519"/>
      <c r="L8" s="1222"/>
      <c r="M8" s="1222"/>
      <c r="N8" s="1222"/>
      <c r="O8" s="1222"/>
      <c r="P8" s="1222"/>
      <c r="Q8" s="1222"/>
      <c r="R8" s="1222"/>
      <c r="S8" s="1222"/>
      <c r="T8" s="1222"/>
      <c r="U8" s="1222"/>
      <c r="V8" s="1222"/>
      <c r="W8" s="1222"/>
      <c r="X8" s="1222"/>
      <c r="Y8" s="1222"/>
      <c r="Z8" s="1222"/>
      <c r="AA8" s="1222"/>
      <c r="AB8" s="1222"/>
      <c r="AC8" s="1222"/>
      <c r="AD8" s="1222"/>
      <c r="AE8" s="1222"/>
      <c r="AF8" s="1222"/>
      <c r="AG8" s="1222"/>
    </row>
    <row r="9" spans="1:33" s="444" customFormat="1" ht="16.5" customHeight="1">
      <c r="A9" s="454" t="s">
        <v>781</v>
      </c>
      <c r="B9" s="455"/>
      <c r="C9" s="455"/>
      <c r="D9" s="455"/>
      <c r="E9" s="455"/>
      <c r="F9" s="455"/>
      <c r="G9" s="455"/>
      <c r="H9" s="455"/>
      <c r="I9" s="455"/>
      <c r="J9" s="455"/>
      <c r="K9" s="456"/>
      <c r="L9" s="1220"/>
      <c r="M9" s="1220"/>
      <c r="N9" s="1220"/>
      <c r="O9" s="1220"/>
      <c r="P9" s="1220"/>
      <c r="Q9" s="1220"/>
      <c r="R9" s="1220"/>
      <c r="S9" s="1220"/>
      <c r="T9" s="1220"/>
      <c r="U9" s="1220"/>
      <c r="V9" s="1220"/>
      <c r="W9" s="1220"/>
      <c r="X9" s="1220"/>
      <c r="Y9" s="1220"/>
      <c r="Z9" s="1220"/>
      <c r="AA9" s="1220"/>
      <c r="AB9" s="1220"/>
      <c r="AC9" s="1220"/>
      <c r="AD9" s="1220"/>
      <c r="AE9" s="1220"/>
      <c r="AF9" s="1220"/>
      <c r="AG9" s="1220"/>
    </row>
    <row r="10" spans="1:33" s="462" customFormat="1" ht="13.5" customHeight="1">
      <c r="A10" s="445" t="s">
        <v>776</v>
      </c>
      <c r="B10" s="457" t="s">
        <v>777</v>
      </c>
      <c r="C10" s="458" t="s">
        <v>782</v>
      </c>
      <c r="D10" s="459" t="s">
        <v>783</v>
      </c>
      <c r="E10" s="459" t="s">
        <v>784</v>
      </c>
      <c r="F10" s="459" t="s">
        <v>785</v>
      </c>
      <c r="G10" s="457"/>
      <c r="H10" s="460"/>
      <c r="I10" s="460"/>
      <c r="J10" s="460"/>
      <c r="K10" s="461"/>
      <c r="L10" s="1223"/>
      <c r="M10" s="1223"/>
      <c r="N10" s="1223"/>
      <c r="O10" s="1223"/>
      <c r="P10" s="1223"/>
      <c r="Q10" s="1223"/>
      <c r="R10" s="1223"/>
      <c r="S10" s="1223"/>
      <c r="T10" s="1223"/>
      <c r="U10" s="1223"/>
      <c r="V10" s="1223"/>
      <c r="W10" s="1223"/>
      <c r="X10" s="1223"/>
      <c r="Y10" s="1223"/>
      <c r="Z10" s="1223"/>
      <c r="AA10" s="1223"/>
      <c r="AB10" s="1223"/>
      <c r="AC10" s="1223"/>
      <c r="AD10" s="1223"/>
      <c r="AE10" s="1223"/>
      <c r="AF10" s="1223"/>
      <c r="AG10" s="1223"/>
    </row>
    <row r="11" spans="1:33" s="467" customFormat="1" ht="13.5" customHeight="1">
      <c r="A11" s="2289" t="s">
        <v>2813</v>
      </c>
      <c r="B11" s="463" t="s">
        <v>786</v>
      </c>
      <c r="C11" s="464">
        <f>IF(C1="仅计算典型户型",'数据-取费表'!F18,'数据-取费表'!E18)</f>
        <v>0</v>
      </c>
      <c r="D11" s="465"/>
      <c r="E11" s="287"/>
      <c r="F11" s="466">
        <f>1-'数据-取费表'!E20</f>
        <v>0.19999999999999996</v>
      </c>
      <c r="G11" s="457"/>
      <c r="H11" s="460"/>
      <c r="I11" s="460"/>
      <c r="J11" s="460"/>
      <c r="K11" s="461"/>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row>
    <row r="12" spans="1:33" s="467" customFormat="1" ht="13.5" customHeight="1">
      <c r="A12" s="2289" t="s">
        <v>2814</v>
      </c>
      <c r="B12" s="463" t="s">
        <v>787</v>
      </c>
      <c r="C12" s="197">
        <f>ROUND(C11*F12,0)</f>
        <v>0</v>
      </c>
      <c r="D12" s="465"/>
      <c r="E12" s="287"/>
      <c r="F12" s="468">
        <f>'数据-取费表'!E21</f>
        <v>0.03</v>
      </c>
      <c r="G12" s="457" t="s">
        <v>788</v>
      </c>
      <c r="H12" s="460"/>
      <c r="I12" s="460"/>
      <c r="J12" s="460"/>
      <c r="K12" s="461"/>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row>
    <row r="13" spans="1:33" s="467" customFormat="1" ht="13.5" customHeight="1">
      <c r="A13" s="2289" t="s">
        <v>2815</v>
      </c>
      <c r="B13" s="463" t="s">
        <v>789</v>
      </c>
      <c r="C13" s="197">
        <f>ROUND(IF('数据-取费表'!B10="住宅",C11*F13,0),0)</f>
        <v>0</v>
      </c>
      <c r="D13" s="465"/>
      <c r="E13" s="287"/>
      <c r="F13" s="468">
        <f>'数据-取费表'!E22</f>
        <v>0.05</v>
      </c>
      <c r="G13" s="457" t="s">
        <v>790</v>
      </c>
      <c r="H13" s="460"/>
      <c r="I13" s="460"/>
      <c r="J13" s="460"/>
      <c r="K13" s="461"/>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row>
    <row r="14" spans="1:33" s="469" customFormat="1" ht="13.5" customHeight="1">
      <c r="A14" s="2289" t="s">
        <v>2816</v>
      </c>
      <c r="B14" s="463" t="s">
        <v>791</v>
      </c>
      <c r="C14" s="197">
        <f>ROUND(D14*E14*F11,0)</f>
        <v>0</v>
      </c>
      <c r="D14" s="465">
        <f>IF(C1="仅计算典型户型",'数据-取费表'!E5,'数据-取费表'!B5)</f>
        <v>0</v>
      </c>
      <c r="E14" s="197">
        <f>'数据-取费表'!E23</f>
        <v>160</v>
      </c>
      <c r="F14" s="468"/>
      <c r="G14" s="457" t="s">
        <v>792</v>
      </c>
      <c r="H14" s="460"/>
      <c r="I14" s="460"/>
      <c r="J14" s="460"/>
      <c r="K14" s="461"/>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row>
    <row r="15" spans="1:33" s="469" customFormat="1" ht="13.5" customHeight="1">
      <c r="A15" s="2289" t="s">
        <v>2817</v>
      </c>
      <c r="B15" s="463" t="s">
        <v>799</v>
      </c>
      <c r="C15" s="476">
        <f>ROUND(C11*F15,0)</f>
        <v>0</v>
      </c>
      <c r="D15" s="470"/>
      <c r="E15" s="476"/>
      <c r="F15" s="477">
        <f>'数据-取费表'!E24</f>
        <v>1.4999999999999999E-2</v>
      </c>
      <c r="G15" s="448" t="s">
        <v>800</v>
      </c>
      <c r="H15" s="471"/>
      <c r="I15" s="471"/>
      <c r="J15" s="471"/>
      <c r="K15" s="472"/>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row>
    <row r="16" spans="1:33" s="469" customFormat="1" ht="13.5" customHeight="1">
      <c r="A16" s="2289" t="s">
        <v>2818</v>
      </c>
      <c r="B16" s="3016" t="s">
        <v>2819</v>
      </c>
      <c r="C16" s="464">
        <f>SUM(C11:C15)</f>
        <v>0</v>
      </c>
      <c r="D16" s="465"/>
      <c r="E16" s="197"/>
      <c r="F16" s="468"/>
      <c r="G16" s="457"/>
      <c r="H16" s="460"/>
      <c r="I16" s="460"/>
      <c r="J16" s="460"/>
      <c r="K16" s="461"/>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row>
    <row r="17" spans="1:33" s="469" customFormat="1" ht="13.5" customHeight="1">
      <c r="A17" s="2289" t="s">
        <v>2820</v>
      </c>
      <c r="B17" s="463" t="s">
        <v>793</v>
      </c>
      <c r="C17" s="197">
        <f>ROUND(D17*E17,0)</f>
        <v>0</v>
      </c>
      <c r="D17" s="465">
        <f>IF(C1="仅计算典型户型",'数据-取费表'!E5,'数据-取费表'!B5)</f>
        <v>0</v>
      </c>
      <c r="E17" s="197">
        <f>'数据-取费表'!E16</f>
        <v>0</v>
      </c>
      <c r="F17" s="470"/>
      <c r="G17" s="448" t="s">
        <v>794</v>
      </c>
      <c r="H17" s="471"/>
      <c r="I17" s="471"/>
      <c r="J17" s="471"/>
      <c r="K17" s="472"/>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row>
    <row r="18" spans="1:33" s="467" customFormat="1" ht="13.5" customHeight="1">
      <c r="A18" s="2289" t="s">
        <v>2821</v>
      </c>
      <c r="B18" s="463" t="s">
        <v>795</v>
      </c>
      <c r="C18" s="197">
        <f>C19+C20-'数据-取费表'!E13</f>
        <v>0</v>
      </c>
      <c r="D18" s="465"/>
      <c r="E18" s="197"/>
      <c r="F18" s="468"/>
      <c r="G18" s="448" t="s">
        <v>796</v>
      </c>
      <c r="H18" s="471"/>
      <c r="I18" s="471"/>
      <c r="J18" s="471"/>
      <c r="K18" s="472"/>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row>
    <row r="19" spans="1:33" s="467" customFormat="1" ht="13.5" customHeight="1">
      <c r="A19" s="2289" t="s">
        <v>2270</v>
      </c>
      <c r="B19" s="463" t="s">
        <v>797</v>
      </c>
      <c r="C19" s="197">
        <f>ROUND(D19*E19,0)</f>
        <v>0</v>
      </c>
      <c r="D19" s="465">
        <f>IF('数据-取费表'!B10="住宅",IF(C1="仅计算典型户型",'数据-取费表'!E5,'数据-取费表'!B5),0)</f>
        <v>0</v>
      </c>
      <c r="E19" s="197">
        <f>'数据-取费表'!E11</f>
        <v>160</v>
      </c>
      <c r="F19" s="468"/>
      <c r="G19" s="473"/>
      <c r="H19" s="474"/>
      <c r="I19" s="474"/>
      <c r="J19" s="474"/>
      <c r="K19" s="475"/>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row>
    <row r="20" spans="1:33" s="467" customFormat="1" ht="13.5" customHeight="1">
      <c r="A20" s="2289" t="s">
        <v>2271</v>
      </c>
      <c r="B20" s="463" t="s">
        <v>798</v>
      </c>
      <c r="C20" s="197">
        <f>ROUND(D20*E20,0)</f>
        <v>0</v>
      </c>
      <c r="D20" s="465">
        <f>IF('数据-取费表'!B10&lt;&gt;"住宅",IF(C1="仅计算典型户型",'数据-取费表'!E5,'数据-取费表'!B5),0)</f>
        <v>0</v>
      </c>
      <c r="E20" s="197">
        <f>'数据-取费表'!E12</f>
        <v>0</v>
      </c>
      <c r="F20" s="468"/>
      <c r="G20" s="473"/>
      <c r="H20" s="474"/>
      <c r="I20" s="474"/>
      <c r="J20" s="474"/>
      <c r="K20" s="475"/>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row>
    <row r="21" spans="1:33" s="467" customFormat="1" ht="13.5" customHeight="1">
      <c r="A21" s="2286" t="s">
        <v>2265</v>
      </c>
      <c r="B21" s="478" t="s">
        <v>801</v>
      </c>
      <c r="C21" s="479">
        <f>C16+C17+C18</f>
        <v>0</v>
      </c>
      <c r="D21" s="480"/>
      <c r="E21" s="481"/>
      <c r="F21" s="481"/>
      <c r="G21" s="448" t="s">
        <v>2822</v>
      </c>
      <c r="H21" s="471"/>
      <c r="I21" s="471"/>
      <c r="J21" s="471"/>
      <c r="K21" s="472"/>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row>
    <row r="22" spans="1:33" s="467" customFormat="1" ht="13.5" customHeight="1">
      <c r="A22" s="2287" t="s">
        <v>2266</v>
      </c>
      <c r="B22" s="478" t="s">
        <v>802</v>
      </c>
      <c r="C22" s="479">
        <f>ROUND(C21*F22,0)</f>
        <v>0</v>
      </c>
      <c r="D22" s="481"/>
      <c r="E22" s="481"/>
      <c r="F22" s="482">
        <f>'数据-取费表'!E25</f>
        <v>0.02</v>
      </c>
      <c r="G22" s="457" t="s">
        <v>803</v>
      </c>
      <c r="H22" s="460"/>
      <c r="I22" s="460"/>
      <c r="J22" s="460"/>
      <c r="K22" s="461"/>
      <c r="L22" s="483"/>
      <c r="M22" s="483"/>
      <c r="N22" s="483"/>
    </row>
    <row r="23" spans="1:33" s="467" customFormat="1" ht="13.5" customHeight="1">
      <c r="A23" s="2287" t="s">
        <v>2267</v>
      </c>
      <c r="B23" s="478" t="s">
        <v>804</v>
      </c>
      <c r="C23" s="479">
        <f>ROUND(C4*F23*F11,0)</f>
        <v>0</v>
      </c>
      <c r="D23" s="481"/>
      <c r="E23" s="481"/>
      <c r="F23" s="482">
        <f>'数据-取费表'!E26</f>
        <v>0.02</v>
      </c>
      <c r="G23" s="457" t="s">
        <v>805</v>
      </c>
      <c r="H23" s="460"/>
      <c r="I23" s="460"/>
      <c r="J23" s="460"/>
      <c r="K23" s="461"/>
    </row>
    <row r="24" spans="1:33" s="467" customFormat="1" ht="13.5" customHeight="1">
      <c r="A24" s="2287" t="s">
        <v>2272</v>
      </c>
      <c r="B24" s="478" t="s">
        <v>806</v>
      </c>
      <c r="C24" s="484">
        <f>ROUND(F24/(1+'数据-取费表'!F30),4)</f>
        <v>2.9000000000000001E-2</v>
      </c>
      <c r="D24" s="485" t="s">
        <v>35</v>
      </c>
      <c r="E24" s="485"/>
      <c r="F24" s="482">
        <f>'数据-取费表'!E36+'数据-取费表'!E37</f>
        <v>3.0499999999999999E-2</v>
      </c>
      <c r="G24" s="3015" t="s">
        <v>2812</v>
      </c>
      <c r="H24" s="487"/>
      <c r="I24" s="487"/>
      <c r="J24" s="487"/>
      <c r="K24" s="488"/>
    </row>
    <row r="25" spans="1:33" s="483" customFormat="1" ht="13.5" customHeight="1">
      <c r="A25" s="2287" t="s">
        <v>2273</v>
      </c>
      <c r="B25" s="480" t="s">
        <v>807</v>
      </c>
      <c r="C25" s="489">
        <f ca="1">C27</f>
        <v>0</v>
      </c>
      <c r="D25" s="484">
        <f ca="1">C26</f>
        <v>0</v>
      </c>
      <c r="E25" s="490" t="s">
        <v>35</v>
      </c>
      <c r="F25" s="491">
        <f ca="1">'数据-取费表'!E27</f>
        <v>4.7500000000000001E-2</v>
      </c>
      <c r="G25" s="448" t="s">
        <v>819</v>
      </c>
      <c r="H25" s="487"/>
      <c r="I25" s="487"/>
      <c r="J25" s="487"/>
      <c r="K25" s="488"/>
    </row>
    <row r="26" spans="1:33" s="497" customFormat="1" ht="13.5" customHeight="1">
      <c r="A26" s="2289" t="s">
        <v>2268</v>
      </c>
      <c r="B26" s="492" t="s">
        <v>808</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2269</v>
      </c>
      <c r="B27" s="492" t="s">
        <v>809</v>
      </c>
      <c r="C27" s="498">
        <f ca="1">ROUND(IF('数据-取费表'!B23&lt;=1,(C21+C22+C23)*F25*'数据-取费表'!B25/2,(C21+C22+C23)*(POWER((1+F25),'数据-取费表'!B25/2)-1)),0)</f>
        <v>0</v>
      </c>
      <c r="D27" s="494"/>
      <c r="E27" s="495"/>
      <c r="F27" s="496"/>
      <c r="G27" s="448" t="s">
        <v>810</v>
      </c>
      <c r="H27" s="471"/>
      <c r="I27" s="471"/>
      <c r="J27" s="471"/>
      <c r="K27" s="472"/>
    </row>
    <row r="28" spans="1:33" s="502" customFormat="1" ht="13.5" customHeight="1">
      <c r="A28" s="2287" t="s">
        <v>2274</v>
      </c>
      <c r="B28" s="499" t="s">
        <v>811</v>
      </c>
      <c r="C28" s="500">
        <f>C30</f>
        <v>0</v>
      </c>
      <c r="D28" s="484">
        <f>C29</f>
        <v>0.20580000000000001</v>
      </c>
      <c r="E28" s="490" t="s">
        <v>35</v>
      </c>
      <c r="F28" s="501">
        <f>'数据-取费表'!E28</f>
        <v>0.2</v>
      </c>
      <c r="G28" s="486"/>
      <c r="H28" s="487"/>
      <c r="I28" s="487"/>
      <c r="J28" s="487"/>
      <c r="K28" s="488"/>
    </row>
    <row r="29" spans="1:33" s="505" customFormat="1" ht="13.5" customHeight="1">
      <c r="A29" s="2289" t="s">
        <v>2268</v>
      </c>
      <c r="B29" s="503" t="s">
        <v>812</v>
      </c>
      <c r="C29" s="494">
        <f>ROUND((1+C24)*F28,4)</f>
        <v>0.20580000000000001</v>
      </c>
      <c r="D29" s="494"/>
      <c r="E29" s="495"/>
      <c r="F29" s="504"/>
      <c r="G29" s="448" t="s">
        <v>813</v>
      </c>
      <c r="H29" s="471"/>
      <c r="I29" s="471"/>
      <c r="J29" s="471"/>
      <c r="K29" s="472"/>
    </row>
    <row r="30" spans="1:33" s="505" customFormat="1" ht="13.5" customHeight="1">
      <c r="A30" s="2289" t="s">
        <v>2269</v>
      </c>
      <c r="B30" s="503" t="s">
        <v>814</v>
      </c>
      <c r="C30" s="506">
        <f>ROUND((C21+C22+C23)*F28,0)</f>
        <v>0</v>
      </c>
      <c r="D30" s="494"/>
      <c r="E30" s="507"/>
      <c r="F30" s="504"/>
      <c r="G30" s="448"/>
      <c r="H30" s="471"/>
      <c r="I30" s="471"/>
      <c r="J30" s="471"/>
      <c r="K30" s="472"/>
    </row>
    <row r="31" spans="1:33" s="483" customFormat="1" ht="13.5" customHeight="1" thickBot="1">
      <c r="A31" s="2290" t="s">
        <v>2275</v>
      </c>
      <c r="B31" s="478" t="s">
        <v>815</v>
      </c>
      <c r="C31" s="508">
        <f>ROUND(C4*F31/(1+'数据-取费表'!F30),0)</f>
        <v>0</v>
      </c>
      <c r="D31" s="453"/>
      <c r="E31" s="509"/>
      <c r="F31" s="510">
        <f>'数据-取费表'!E29</f>
        <v>5.6000000000000001E-2</v>
      </c>
      <c r="G31" s="511" t="s">
        <v>816</v>
      </c>
      <c r="H31" s="512"/>
      <c r="I31" s="512"/>
      <c r="J31" s="512"/>
      <c r="K31" s="513"/>
    </row>
    <row r="32" spans="1:33" s="462" customFormat="1" ht="13.5" customHeight="1" thickBot="1">
      <c r="A32" s="514" t="s">
        <v>817</v>
      </c>
      <c r="B32" s="515"/>
      <c r="C32" s="516">
        <f ca="1">ROUND((C4-C21-C22-C23-C25-C28-C31)/(1+C24+D25+D28),0)</f>
        <v>0</v>
      </c>
      <c r="D32" s="515"/>
      <c r="E32" s="515"/>
      <c r="F32" s="515"/>
      <c r="G32" s="517" t="s">
        <v>818</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I27" sqref="I27"/>
    </sheetView>
  </sheetViews>
  <sheetFormatPr defaultRowHeight="13.5"/>
  <sheetData>
    <row r="1" spans="1:6">
      <c r="B1" s="3124" t="s">
        <v>2961</v>
      </c>
      <c r="C1" s="3124" t="s">
        <v>2962</v>
      </c>
      <c r="D1" s="3124" t="s">
        <v>2940</v>
      </c>
      <c r="E1" s="3124" t="s">
        <v>2942</v>
      </c>
      <c r="F1" s="3124" t="s">
        <v>2941</v>
      </c>
    </row>
    <row r="2" spans="1:6">
      <c r="A2" s="3124">
        <v>1002</v>
      </c>
      <c r="B2">
        <f ca="1">'结果表 (1修多)'!C19</f>
        <v>1426</v>
      </c>
      <c r="C2">
        <f ca="1">'结果表 (1修多)'!D19</f>
        <v>1125</v>
      </c>
      <c r="D2">
        <f ca="1">B2*'结果表 (1修多)'!C18+C2*'结果表 (1修多)'!D18</f>
        <v>1275.5</v>
      </c>
      <c r="E2">
        <f ca="1">ROUND(D2/F2*10000,0)</f>
        <v>49930</v>
      </c>
      <c r="F2">
        <f>明细表!C2</f>
        <v>255.46</v>
      </c>
    </row>
    <row r="3" spans="1:6">
      <c r="A3">
        <v>1004</v>
      </c>
      <c r="B3">
        <f>典型户型修正!T28</f>
        <v>880</v>
      </c>
      <c r="C3">
        <f ca="1">'收益法 (2)'!B2</f>
        <v>1125</v>
      </c>
      <c r="D3">
        <f ca="1">B3*'结果表 (1修多)'!C18+C3*'结果表 (1修多)'!D18</f>
        <v>1002.5</v>
      </c>
      <c r="E3">
        <f ca="1">ROUND(D3/F3*10000,0)</f>
        <v>61651</v>
      </c>
      <c r="F3">
        <f>明细表!C3</f>
        <v>162.61000000000001</v>
      </c>
    </row>
    <row r="4" spans="1:6">
      <c r="A4" s="3124" t="s">
        <v>2960</v>
      </c>
      <c r="B4">
        <f ca="1">B2+B3</f>
        <v>2306</v>
      </c>
      <c r="C4">
        <f ca="1">C2+C3</f>
        <v>2250</v>
      </c>
      <c r="D4">
        <f ca="1">B4*'结果表 (1修多)'!C18+C4*'结果表 (1修多)'!D18</f>
        <v>2278</v>
      </c>
      <c r="E4">
        <f ca="1">ROUND(D4/F4*10000,0)</f>
        <v>54488</v>
      </c>
      <c r="F4">
        <f>F2+F3</f>
        <v>418.07000000000005</v>
      </c>
    </row>
  </sheetData>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8"/>
    </row>
    <row r="2" spans="1:7">
      <c r="A2" s="2023"/>
      <c r="B2" s="1328"/>
    </row>
    <row r="3" spans="1:7">
      <c r="A3" s="2023"/>
      <c r="B3" s="1328"/>
    </row>
    <row r="4" spans="1:7">
      <c r="A4" s="2023"/>
      <c r="B4" s="1328"/>
    </row>
    <row r="5" spans="1:7">
      <c r="A5" s="2023"/>
      <c r="B5" s="1328"/>
    </row>
    <row r="6" spans="1:7">
      <c r="A6" s="2023"/>
      <c r="B6" s="1328"/>
    </row>
    <row r="7" spans="1:7">
      <c r="A7" s="2023"/>
      <c r="B7" s="1328"/>
    </row>
    <row r="8" spans="1:7">
      <c r="A8" s="2026" t="s">
        <v>2212</v>
      </c>
      <c r="B8" s="2025" t="s">
        <v>2211</v>
      </c>
      <c r="C8" s="1745"/>
    </row>
    <row r="9" spans="1:7">
      <c r="A9" s="2023"/>
      <c r="B9" s="1860" t="str">
        <f>项目基本情况!B1</f>
        <v>北京市房地产抵押价值预评估</v>
      </c>
      <c r="C9" s="1746"/>
      <c r="D9" s="1747"/>
      <c r="E9" s="1747"/>
      <c r="F9" s="1747"/>
      <c r="G9" s="1747"/>
    </row>
    <row r="10" spans="1:7">
      <c r="A10" s="2023"/>
      <c r="B10" s="1860"/>
      <c r="C10" s="1746"/>
      <c r="D10" s="1747"/>
      <c r="E10" s="1747"/>
      <c r="F10" s="1747"/>
      <c r="G10" s="1747"/>
    </row>
    <row r="11" spans="1:7">
      <c r="A11" s="2026" t="s">
        <v>2212</v>
      </c>
      <c r="B11" s="2025" t="s">
        <v>2213</v>
      </c>
      <c r="C11" s="1745"/>
    </row>
    <row r="12" spans="1:7">
      <c r="A12" s="2023"/>
      <c r="B12" s="1859" t="str">
        <f>项目基本情况!B4</f>
        <v>北京和伊华国际贸易发展有限责任公司</v>
      </c>
      <c r="C12" s="1745"/>
    </row>
    <row r="13" spans="1:7">
      <c r="A13" s="2023"/>
      <c r="B13" s="1859"/>
      <c r="C13" s="1745"/>
    </row>
    <row r="14" spans="1:7">
      <c r="A14" s="2026" t="s">
        <v>2212</v>
      </c>
      <c r="B14" s="2025" t="s">
        <v>2214</v>
      </c>
      <c r="C14" s="1745"/>
    </row>
    <row r="15" spans="1:7">
      <c r="A15" s="2023"/>
      <c r="B15" s="1859" t="s">
        <v>1948</v>
      </c>
      <c r="C15" s="1745"/>
    </row>
    <row r="16" spans="1:7">
      <c r="A16" s="2023"/>
      <c r="B16" s="1859"/>
      <c r="C16" s="1745"/>
    </row>
    <row r="17" spans="1:5">
      <c r="A17" s="2026" t="s">
        <v>2212</v>
      </c>
      <c r="B17" s="2025" t="s">
        <v>2215</v>
      </c>
      <c r="C17" s="1745"/>
    </row>
    <row r="18" spans="1:5" s="1749" customFormat="1">
      <c r="A18" s="2024"/>
      <c r="B18" s="1859" t="str">
        <f ca="1">CONCATENATE(项目基本情况!B3,"（注册号:",项目基本情况!C3,"）、",项目基本情况!D3,"（注册号:",项目基本情况!E3,")")</f>
        <v>吴薇（注册号:1419970001）、刘梅（注册号:1120140022)</v>
      </c>
      <c r="C18" s="1748"/>
      <c r="E18" s="1748"/>
    </row>
    <row r="19" spans="1:5">
      <c r="A19" s="2023"/>
      <c r="B19" s="1859"/>
      <c r="C19" s="1745"/>
    </row>
    <row r="20" spans="1:5">
      <c r="A20" s="2026" t="s">
        <v>2212</v>
      </c>
      <c r="B20" s="2025" t="s">
        <v>2216</v>
      </c>
      <c r="C20" s="1745"/>
    </row>
    <row r="21" spans="1:5">
      <c r="A21" s="2023"/>
      <c r="B21" s="1859" t="str">
        <f>"康正预评字"&amp;项目基本情况!G1&amp;"号"</f>
        <v>康正预评字号</v>
      </c>
    </row>
    <row r="22" spans="1:5">
      <c r="A22" s="2023"/>
      <c r="B22" s="1328"/>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F28" sqref="F28"/>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820</v>
      </c>
      <c r="B1" s="523"/>
      <c r="C1" s="1087"/>
      <c r="D1" s="2321" t="s">
        <v>217</v>
      </c>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733</v>
      </c>
      <c r="B2" s="1199">
        <f ca="1">IF(C2="元",IF('数据-取费表'!B28="租赁期内按合同租金",C40+L47+J29,C40+L47),ROUND(IF('数据-取费表'!B28="租赁期内按合同租金",(C40+L47+J29)/10000,(C40+L47)/10000),0))</f>
        <v>1125</v>
      </c>
      <c r="C2" s="1089" t="str">
        <f>'数据-取费表'!B3</f>
        <v>万元</v>
      </c>
      <c r="D2" s="2130"/>
      <c r="E2" s="2131"/>
      <c r="F2" s="2131"/>
      <c r="G2" s="2156"/>
      <c r="H2" s="1086"/>
      <c r="I2" s="2132"/>
      <c r="J2" s="2132"/>
      <c r="K2" s="2133"/>
      <c r="L2" s="2132"/>
      <c r="M2" s="2132"/>
    </row>
    <row r="3" spans="1:37" ht="18" customHeight="1" thickBot="1">
      <c r="A3" s="528" t="s">
        <v>734</v>
      </c>
      <c r="B3" s="1200">
        <f ca="1">ROUND(IF('数据-取费表'!B28="租赁期内按合同租金",(C40+L47+J29)/F43,(C40+L47)/F43),0)</f>
        <v>44038</v>
      </c>
      <c r="C3" s="1089" t="s">
        <v>1019</v>
      </c>
      <c r="D3" s="2130"/>
      <c r="E3" s="2131"/>
      <c r="F3" s="2131"/>
      <c r="G3" s="2156"/>
      <c r="H3" s="529" t="s">
        <v>821</v>
      </c>
      <c r="I3" s="2132"/>
      <c r="J3" s="2132"/>
      <c r="K3" s="2133"/>
      <c r="L3" s="2132"/>
      <c r="M3" s="2132"/>
    </row>
    <row r="4" spans="1:37" ht="18" customHeight="1">
      <c r="A4" s="530" t="s">
        <v>822</v>
      </c>
      <c r="B4" s="531" t="s">
        <v>823</v>
      </c>
      <c r="C4" s="531" t="s">
        <v>824</v>
      </c>
      <c r="D4" s="531" t="s">
        <v>825</v>
      </c>
      <c r="E4" s="532" t="s">
        <v>826</v>
      </c>
      <c r="F4" s="533"/>
      <c r="G4" s="2154"/>
      <c r="H4" s="530" t="s">
        <v>822</v>
      </c>
      <c r="I4" s="531" t="s">
        <v>823</v>
      </c>
      <c r="J4" s="531" t="s">
        <v>824</v>
      </c>
      <c r="K4" s="531" t="s">
        <v>825</v>
      </c>
      <c r="L4" s="532" t="s">
        <v>826</v>
      </c>
      <c r="M4" s="533"/>
    </row>
    <row r="5" spans="1:37" ht="18" customHeight="1">
      <c r="A5" s="534">
        <v>1</v>
      </c>
      <c r="B5" s="535" t="s">
        <v>827</v>
      </c>
      <c r="C5" s="536">
        <f ca="1">C6+C10+C12</f>
        <v>504211</v>
      </c>
      <c r="D5" s="2453" t="s">
        <v>2453</v>
      </c>
      <c r="E5" s="2130"/>
      <c r="F5" s="2444"/>
      <c r="G5" s="2154"/>
      <c r="H5" s="534">
        <v>1</v>
      </c>
      <c r="I5" s="535" t="s">
        <v>827</v>
      </c>
      <c r="J5" s="536">
        <f ca="1">J6+J10+J12</f>
        <v>0</v>
      </c>
      <c r="K5" s="2453" t="s">
        <v>2453</v>
      </c>
      <c r="L5" s="2130"/>
      <c r="M5" s="2444"/>
    </row>
    <row r="6" spans="1:37" ht="18" customHeight="1">
      <c r="A6" s="2445" t="s">
        <v>2232</v>
      </c>
      <c r="B6" s="1813" t="s">
        <v>2511</v>
      </c>
      <c r="C6" s="536">
        <f>ROUND(F6*F8*F7*(1-F9),0)</f>
        <v>503512</v>
      </c>
      <c r="D6" s="2451" t="s">
        <v>2451</v>
      </c>
      <c r="E6" s="537" t="s">
        <v>829</v>
      </c>
      <c r="F6" s="538">
        <f>'数据-取费表'!B29</f>
        <v>6</v>
      </c>
      <c r="G6" s="2154"/>
      <c r="H6" s="2445" t="s">
        <v>2515</v>
      </c>
      <c r="I6" s="1813" t="s">
        <v>2512</v>
      </c>
      <c r="J6" s="536">
        <f>ROUND(M6*M8*M7*(1-M9),0)</f>
        <v>0</v>
      </c>
      <c r="K6" s="297" t="s">
        <v>828</v>
      </c>
      <c r="L6" s="537" t="s">
        <v>829</v>
      </c>
      <c r="M6" s="538">
        <f>'数据-取费表'!B36</f>
        <v>0</v>
      </c>
    </row>
    <row r="7" spans="1:37" ht="18" customHeight="1">
      <c r="A7" s="2517"/>
      <c r="B7" s="2443"/>
      <c r="C7" s="541"/>
      <c r="D7" s="2442"/>
      <c r="E7" s="537" t="s">
        <v>830</v>
      </c>
      <c r="F7" s="538">
        <f>IF('数据-取费表'!B41="",IF(D1="仅计算典型户型",'数据-取费表'!E5,'数据-取费表'!B5),'数据-取费表'!B41)</f>
        <v>255.46</v>
      </c>
      <c r="G7" s="2154"/>
      <c r="H7" s="539"/>
      <c r="I7" s="2443"/>
      <c r="J7" s="541"/>
      <c r="K7" s="542"/>
      <c r="L7" s="537" t="s">
        <v>830</v>
      </c>
      <c r="M7" s="538">
        <f>IF('数据-取费表'!B41="",IF(D1="仅计算典型户型",'数据-取费表'!E5,'数据-取费表'!B5),'数据-取费表'!B41)</f>
        <v>255.46</v>
      </c>
    </row>
    <row r="8" spans="1:37" ht="18" customHeight="1">
      <c r="A8" s="2517"/>
      <c r="B8" s="2443"/>
      <c r="C8" s="541"/>
      <c r="D8" s="2442"/>
      <c r="E8" s="1665" t="s">
        <v>2293</v>
      </c>
      <c r="F8" s="538">
        <f>'数据-取费表'!B42</f>
        <v>365</v>
      </c>
      <c r="G8" s="2154"/>
      <c r="H8" s="539"/>
      <c r="I8" s="2443"/>
      <c r="J8" s="541"/>
      <c r="K8" s="542"/>
      <c r="L8" s="537" t="s">
        <v>831</v>
      </c>
      <c r="M8" s="538">
        <f>'数据-取费表'!B42</f>
        <v>365</v>
      </c>
    </row>
    <row r="9" spans="1:37" ht="18" customHeight="1">
      <c r="A9" s="2517"/>
      <c r="B9" s="2443"/>
      <c r="C9" s="541"/>
      <c r="D9" s="2452"/>
      <c r="E9" s="537" t="s">
        <v>832</v>
      </c>
      <c r="F9" s="547">
        <f>'数据-取费表'!B32</f>
        <v>0.1</v>
      </c>
      <c r="G9" s="2154"/>
      <c r="H9" s="539"/>
      <c r="I9" s="2443"/>
      <c r="J9" s="2450"/>
      <c r="K9" s="312"/>
      <c r="L9" s="548" t="s">
        <v>832</v>
      </c>
      <c r="M9" s="547">
        <f>'数据-取费表'!B38</f>
        <v>0</v>
      </c>
    </row>
    <row r="10" spans="1:37" ht="18" customHeight="1">
      <c r="A10" s="2445" t="s">
        <v>2513</v>
      </c>
      <c r="B10" s="2448" t="s">
        <v>2446</v>
      </c>
      <c r="C10" s="2447">
        <f ca="1">ROUND(IF(F10="押一",F6*F7*F8/12*F11,IF(F10="押二",F6*F7*F8/12*2*F11,IF(F10="押三",F6*F7*F8/12*3*F11,C11*F11))),0)</f>
        <v>699</v>
      </c>
      <c r="D10" s="2446" t="s">
        <v>2449</v>
      </c>
      <c r="E10" s="2441" t="s">
        <v>2450</v>
      </c>
      <c r="F10" s="2449" t="s">
        <v>2898</v>
      </c>
      <c r="G10" s="2154"/>
      <c r="H10" s="2445" t="s">
        <v>2516</v>
      </c>
      <c r="I10" s="2448" t="s">
        <v>2446</v>
      </c>
      <c r="J10" s="2447">
        <f ca="1">ROUND(IF(M10="押一",M6*M8*M7/12*M11,IF(M10="押二",M6*M8*M7/12*2*M11,IF(M10="押三",M6*M8*M7/12*3*M11,J11*M11))),0)</f>
        <v>0</v>
      </c>
      <c r="K10" s="2451" t="s">
        <v>2449</v>
      </c>
      <c r="L10" s="2441" t="s">
        <v>2450</v>
      </c>
      <c r="M10" s="2449"/>
    </row>
    <row r="11" spans="1:37" s="559" customFormat="1" ht="18" customHeight="1">
      <c r="A11" s="566"/>
      <c r="B11" s="2454" t="s">
        <v>2510</v>
      </c>
      <c r="C11" s="2486"/>
      <c r="D11" s="2442"/>
      <c r="E11" s="2441" t="s">
        <v>2448</v>
      </c>
      <c r="F11" s="549">
        <f ca="1">'数据-取费表'!B30</f>
        <v>1.4999999999999999E-2</v>
      </c>
      <c r="G11" s="2155"/>
      <c r="H11" s="543"/>
      <c r="I11" s="2454" t="s">
        <v>2575</v>
      </c>
      <c r="J11" s="2486"/>
      <c r="K11" s="2442"/>
      <c r="L11" s="2441" t="s">
        <v>2448</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2514</v>
      </c>
      <c r="B12" s="2493" t="s">
        <v>2452</v>
      </c>
      <c r="C12" s="2494"/>
      <c r="D12" s="2495"/>
      <c r="E12" s="1829"/>
      <c r="F12" s="2496"/>
      <c r="G12" s="2154"/>
      <c r="H12" s="2492" t="s">
        <v>2517</v>
      </c>
      <c r="I12" s="2493" t="s">
        <v>2452</v>
      </c>
      <c r="J12" s="2494"/>
      <c r="K12" s="2511"/>
      <c r="L12" s="1829"/>
      <c r="M12" s="2512"/>
    </row>
    <row r="13" spans="1:37" s="559" customFormat="1" ht="18" customHeight="1" thickTop="1">
      <c r="A13" s="2488">
        <v>2</v>
      </c>
      <c r="B13" s="2489" t="s">
        <v>833</v>
      </c>
      <c r="C13" s="545">
        <f ca="1">ROUND(C29*F13,0)</f>
        <v>971971</v>
      </c>
      <c r="D13" s="2490" t="s">
        <v>834</v>
      </c>
      <c r="E13" s="2490" t="s">
        <v>835</v>
      </c>
      <c r="F13" s="2491">
        <f>'数据-取费表'!E20</f>
        <v>0.8</v>
      </c>
      <c r="G13" s="2155"/>
      <c r="H13" s="2488">
        <v>2</v>
      </c>
      <c r="I13" s="2489" t="s">
        <v>833</v>
      </c>
      <c r="J13" s="2450">
        <f ca="1">ROUND(J14*J15,0)</f>
        <v>0</v>
      </c>
      <c r="K13" s="2497" t="s">
        <v>834</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2240</v>
      </c>
      <c r="B14" s="537" t="s">
        <v>373</v>
      </c>
      <c r="C14" s="556">
        <f>IF(D1="仅计算典型户型",'数据-取费表'!F18,'数据-取费表'!E18)</f>
        <v>766380</v>
      </c>
      <c r="D14" s="2437" t="s">
        <v>836</v>
      </c>
      <c r="E14" s="2438"/>
      <c r="F14" s="1633"/>
      <c r="G14" s="2155"/>
      <c r="H14" s="555" t="s">
        <v>2232</v>
      </c>
      <c r="I14" s="537" t="s">
        <v>837</v>
      </c>
      <c r="J14" s="197">
        <f ca="1">C29</f>
        <v>1214964</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2241</v>
      </c>
      <c r="B15" s="537" t="s">
        <v>374</v>
      </c>
      <c r="C15" s="197">
        <f>ROUND(C14*F15,0)</f>
        <v>22991</v>
      </c>
      <c r="D15" s="557" t="s">
        <v>838</v>
      </c>
      <c r="E15" s="557" t="s">
        <v>839</v>
      </c>
      <c r="F15" s="558">
        <f>'数据-取费表'!E21</f>
        <v>0.03</v>
      </c>
      <c r="G15" s="2154"/>
      <c r="H15" s="2500" t="s">
        <v>2246</v>
      </c>
      <c r="I15" s="2501" t="s">
        <v>835</v>
      </c>
      <c r="J15" s="2513">
        <f>'数据-取费表'!B39</f>
        <v>0</v>
      </c>
      <c r="K15" s="2514"/>
      <c r="L15" s="2515"/>
      <c r="M15" s="2516"/>
    </row>
    <row r="16" spans="1:37" s="559" customFormat="1" ht="18" customHeight="1" thickTop="1">
      <c r="A16" s="555" t="s">
        <v>2242</v>
      </c>
      <c r="B16" s="537" t="s">
        <v>375</v>
      </c>
      <c r="C16" s="197">
        <f>ROUND(C14*F16,0)</f>
        <v>38319</v>
      </c>
      <c r="D16" s="537" t="s">
        <v>838</v>
      </c>
      <c r="E16" s="537" t="s">
        <v>839</v>
      </c>
      <c r="F16" s="560">
        <f>IF('数据-取费表'!B10="住宅",'数据-取费表'!E22,0)</f>
        <v>0.05</v>
      </c>
      <c r="G16" s="2155"/>
      <c r="H16" s="2488" t="s">
        <v>38</v>
      </c>
      <c r="I16" s="2489" t="s">
        <v>840</v>
      </c>
      <c r="J16" s="545">
        <f ca="1">ROUND(J17+J22+J23+J24,0)</f>
        <v>18224</v>
      </c>
      <c r="K16" s="2497" t="s">
        <v>841</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2243</v>
      </c>
      <c r="B17" s="537" t="s">
        <v>376</v>
      </c>
      <c r="C17" s="197">
        <f>ROUND(F17*IF(D1="仅计算典型户型",'数据-取费表'!E5,'数据-取费表'!B5),0)</f>
        <v>40874</v>
      </c>
      <c r="D17" s="537" t="s">
        <v>842</v>
      </c>
      <c r="E17" s="537" t="s">
        <v>843</v>
      </c>
      <c r="F17" s="199">
        <f>'数据-取费表'!E23</f>
        <v>160</v>
      </c>
      <c r="G17" s="2155"/>
      <c r="H17" s="555" t="s">
        <v>2238</v>
      </c>
      <c r="I17" s="537" t="s">
        <v>377</v>
      </c>
      <c r="J17" s="197">
        <f ca="1">ROUND(IF(项目基本情况!B7="自然人",J5*M17,J18+J19+J20),0)</f>
        <v>0</v>
      </c>
      <c r="K17" s="2067" t="s">
        <v>844</v>
      </c>
      <c r="L17" s="2068" t="s">
        <v>845</v>
      </c>
      <c r="M17" s="561">
        <f>IF(项目基本情况!B7="企业","",IF('数据-取费表'!B10="住宅",5%,IF(M6*M7*M8/12/(1+'数据-取费表'!F30)&gt;20000,12%,7%)))</f>
        <v>0.05</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2244</v>
      </c>
      <c r="B18" s="537" t="s">
        <v>378</v>
      </c>
      <c r="C18" s="197">
        <f>ROUND(C14*F18,0)</f>
        <v>11496</v>
      </c>
      <c r="D18" s="537" t="s">
        <v>838</v>
      </c>
      <c r="E18" s="537" t="s">
        <v>839</v>
      </c>
      <c r="F18" s="560">
        <f>'数据-取费表'!E24</f>
        <v>1.4999999999999999E-2</v>
      </c>
      <c r="G18" s="2154"/>
      <c r="H18" s="555" t="s">
        <v>2240</v>
      </c>
      <c r="I18" s="537" t="s">
        <v>846</v>
      </c>
      <c r="J18" s="197" t="str">
        <f>IF(项目基本情况!B7="自然人","——",ROUND(J5*M18/(1+'数据-取费表'!F30),0))</f>
        <v>——</v>
      </c>
      <c r="K18" s="2068" t="s">
        <v>847</v>
      </c>
      <c r="L18" s="537" t="s">
        <v>839</v>
      </c>
      <c r="M18" s="560">
        <f>'数据-取费表'!E29</f>
        <v>5.6000000000000001E-2</v>
      </c>
    </row>
    <row r="19" spans="1:37" s="559" customFormat="1" ht="18" customHeight="1">
      <c r="A19" s="555" t="s">
        <v>2442</v>
      </c>
      <c r="B19" s="537" t="s">
        <v>380</v>
      </c>
      <c r="C19" s="197">
        <f>SUM(C14:C18)</f>
        <v>880060</v>
      </c>
      <c r="D19" s="272" t="s">
        <v>848</v>
      </c>
      <c r="E19" s="2440"/>
      <c r="F19" s="199"/>
      <c r="G19" s="2155"/>
      <c r="H19" s="555" t="s">
        <v>2241</v>
      </c>
      <c r="I19" s="537" t="s">
        <v>849</v>
      </c>
      <c r="J19" s="197" t="str">
        <f>IF(项目基本情况!B7="自然人","——",IF(K19="按租金收入计税",ROUND(J5*M19,1),ROUND(C29*M19*0.7,1)))</f>
        <v>——</v>
      </c>
      <c r="K19" s="1090" t="s">
        <v>2224</v>
      </c>
      <c r="L19" s="537" t="s">
        <v>839</v>
      </c>
      <c r="M19" s="560">
        <f>IF(K19="按租金收入计税",'数据-取费表'!E39,'数据-取费表'!E38)</f>
        <v>1.2E-2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2443</v>
      </c>
      <c r="B20" s="537" t="s">
        <v>381</v>
      </c>
      <c r="C20" s="197">
        <f>ROUND(C19*F20,0)</f>
        <v>17601</v>
      </c>
      <c r="D20" s="562" t="s">
        <v>850</v>
      </c>
      <c r="E20" s="537" t="s">
        <v>839</v>
      </c>
      <c r="F20" s="560">
        <f>'数据-取费表'!E25</f>
        <v>0.02</v>
      </c>
      <c r="G20" s="2155"/>
      <c r="H20" s="555" t="s">
        <v>2242</v>
      </c>
      <c r="I20" s="297" t="s">
        <v>851</v>
      </c>
      <c r="J20" s="198" t="str">
        <f>IF(项目基本情况!B7="自然人","——",ROUND(M20*M21,0))</f>
        <v>——</v>
      </c>
      <c r="K20" s="564" t="s">
        <v>852</v>
      </c>
      <c r="L20" s="537" t="s">
        <v>853</v>
      </c>
      <c r="M20" s="565">
        <f>'数据-取费表'!E40</f>
        <v>24</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2233</v>
      </c>
      <c r="B21" s="537" t="s">
        <v>854</v>
      </c>
      <c r="C21" s="991">
        <f>F21</f>
        <v>0.02</v>
      </c>
      <c r="D21" s="562" t="s">
        <v>855</v>
      </c>
      <c r="E21" s="537" t="s">
        <v>856</v>
      </c>
      <c r="F21" s="560">
        <f>'数据-取费表'!E26</f>
        <v>0.02</v>
      </c>
      <c r="G21" s="2154"/>
      <c r="H21" s="566"/>
      <c r="I21" s="546"/>
      <c r="J21" s="202"/>
      <c r="K21" s="567"/>
      <c r="L21" s="537" t="s">
        <v>857</v>
      </c>
      <c r="M21" s="538">
        <f>IF(D1="仅计算典型户型",'数据-取费表'!E6,'数据-取费表'!B6)</f>
        <v>0</v>
      </c>
    </row>
    <row r="22" spans="1:37" ht="18" customHeight="1">
      <c r="A22" s="555" t="s">
        <v>2234</v>
      </c>
      <c r="B22" s="537" t="s">
        <v>858</v>
      </c>
      <c r="C22" s="197"/>
      <c r="D22" s="2528" t="str">
        <f>IF(F23&lt;=1,"单利计息。","复利计息。")&amp;"建造成本、管理费用、销售费用产生的利息。"</f>
        <v>复利计息。建造成本、管理费用、销售费用产生的利息。</v>
      </c>
      <c r="E22" s="2440"/>
      <c r="F22" s="199"/>
      <c r="G22" s="2154"/>
      <c r="H22" s="555" t="s">
        <v>2239</v>
      </c>
      <c r="I22" s="537" t="s">
        <v>859</v>
      </c>
      <c r="J22" s="197">
        <f ca="1">ROUND(J14*M22,0)</f>
        <v>18224</v>
      </c>
      <c r="K22" s="2068" t="s">
        <v>860</v>
      </c>
      <c r="L22" s="537" t="s">
        <v>839</v>
      </c>
      <c r="M22" s="568">
        <f>'数据-取费表'!B44</f>
        <v>1.4999999999999999E-2</v>
      </c>
    </row>
    <row r="23" spans="1:37" ht="18" customHeight="1">
      <c r="A23" s="555" t="s">
        <v>2240</v>
      </c>
      <c r="B23" s="537" t="s">
        <v>2444</v>
      </c>
      <c r="C23" s="197">
        <f ca="1">IF('数据-取费表'!B23&lt;=1,ROUND(C19*F24*F23/2,0)+ROUND(C20*F24*F23/2,0),ROUND(C19*(POWER((1+F24),F23/2)-1),0)+ROUND(C20*(POWER((1+F24),F23/2)-1),0))</f>
        <v>42639</v>
      </c>
      <c r="D23" s="1658" t="str">
        <f>IF(F23&lt;=1,"(建造成本+管理费用)×利率×(建设周期÷2)","(建造成本+管理费用)×((1+利率)^(建设周期÷2)-1)")</f>
        <v>(建造成本+管理费用)×((1+利率)^(建设周期÷2)-1)</v>
      </c>
      <c r="E23" s="537" t="s">
        <v>861</v>
      </c>
      <c r="F23" s="565">
        <f>'数据-取费表'!B21</f>
        <v>2</v>
      </c>
      <c r="G23" s="2154"/>
      <c r="H23" s="555" t="s">
        <v>2233</v>
      </c>
      <c r="I23" s="537" t="s">
        <v>382</v>
      </c>
      <c r="J23" s="197">
        <f ca="1">ROUND(J13*M23,0)</f>
        <v>0</v>
      </c>
      <c r="K23" s="2068" t="s">
        <v>862</v>
      </c>
      <c r="L23" s="537" t="s">
        <v>839</v>
      </c>
      <c r="M23" s="569">
        <f>'数据-取费表'!B45</f>
        <v>1.5E-3</v>
      </c>
    </row>
    <row r="24" spans="1:37" s="559" customFormat="1" ht="18" customHeight="1" thickBot="1">
      <c r="A24" s="555" t="s">
        <v>2245</v>
      </c>
      <c r="B24" s="537" t="s">
        <v>863</v>
      </c>
      <c r="C24" s="197">
        <f ca="1">ROUND(IF('数据-取费表'!B23&lt;=1,F21*F24*F23/2,F21*(POWER((1+F24),F23/2)-1)),4)</f>
        <v>1E-3</v>
      </c>
      <c r="D24" s="1658" t="str">
        <f>IF(F23&lt;=1,"销售费用×利率×(建设周期÷2)","销售费用×((1+利率)^(建设周期÷2)-1)")</f>
        <v>销售费用×((1+利率)^(建设周期÷2)-1)</v>
      </c>
      <c r="E24" s="537" t="s">
        <v>864</v>
      </c>
      <c r="F24" s="570">
        <f ca="1">'数据-取费表'!E27</f>
        <v>4.7500000000000001E-2</v>
      </c>
      <c r="G24" s="2155"/>
      <c r="H24" s="2500" t="s">
        <v>2234</v>
      </c>
      <c r="I24" s="2501" t="s">
        <v>381</v>
      </c>
      <c r="J24" s="2502">
        <f ca="1">ROUND(J5*M24,0)</f>
        <v>0</v>
      </c>
      <c r="K24" s="2503" t="s">
        <v>865</v>
      </c>
      <c r="L24" s="2501" t="s">
        <v>839</v>
      </c>
      <c r="M24" s="2496">
        <f>'数据-取费表'!B46</f>
        <v>0.02</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2235</v>
      </c>
      <c r="B25" s="537" t="s">
        <v>386</v>
      </c>
      <c r="C25" s="197"/>
      <c r="D25" s="272" t="s">
        <v>866</v>
      </c>
      <c r="E25" s="2440"/>
      <c r="F25" s="199"/>
      <c r="G25" s="2155"/>
      <c r="H25" s="2488" t="s">
        <v>46</v>
      </c>
      <c r="I25" s="2505" t="s">
        <v>867</v>
      </c>
      <c r="J25" s="545">
        <f ca="1">J5-J16</f>
        <v>-18224</v>
      </c>
      <c r="K25" s="2506" t="s">
        <v>868</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2240</v>
      </c>
      <c r="B26" s="537" t="s">
        <v>2445</v>
      </c>
      <c r="C26" s="197">
        <f>ROUND((C19+C20)*F26,0)</f>
        <v>179532</v>
      </c>
      <c r="D26" s="562" t="s">
        <v>869</v>
      </c>
      <c r="E26" s="548" t="s">
        <v>870</v>
      </c>
      <c r="F26" s="547">
        <f>'数据-取费表'!E28</f>
        <v>0.2</v>
      </c>
      <c r="G26" s="1267"/>
      <c r="H26" s="534" t="s">
        <v>47</v>
      </c>
      <c r="I26" s="535" t="s">
        <v>871</v>
      </c>
      <c r="J26" s="536">
        <f ca="1">IF(J5&lt;&gt;0,ROUND(J25*(1-((1+M28)/(1+M26))^M27)/(M26-M28),0),0)</f>
        <v>0</v>
      </c>
      <c r="K26" s="564" t="s">
        <v>872</v>
      </c>
      <c r="L26" s="537" t="s">
        <v>880</v>
      </c>
      <c r="M26" s="547">
        <f>'数据-取费表'!B16</f>
        <v>0.05</v>
      </c>
    </row>
    <row r="27" spans="1:37" ht="18" customHeight="1">
      <c r="A27" s="555" t="s">
        <v>2245</v>
      </c>
      <c r="B27" s="537" t="s">
        <v>389</v>
      </c>
      <c r="C27" s="197">
        <f>ROUND(F21*F26,4)</f>
        <v>4.0000000000000001E-3</v>
      </c>
      <c r="D27" s="562" t="s">
        <v>873</v>
      </c>
      <c r="E27" s="557"/>
      <c r="F27" s="558"/>
      <c r="G27" s="1267"/>
      <c r="H27" s="539"/>
      <c r="I27" s="540"/>
      <c r="J27" s="541"/>
      <c r="K27" s="572" t="s">
        <v>874</v>
      </c>
      <c r="L27" s="537" t="s">
        <v>881</v>
      </c>
      <c r="M27" s="573" t="str">
        <f>'数据-取费表'!B40</f>
        <v>——</v>
      </c>
    </row>
    <row r="28" spans="1:37" ht="18" customHeight="1">
      <c r="A28" s="555" t="s">
        <v>2236</v>
      </c>
      <c r="B28" s="537" t="s">
        <v>390</v>
      </c>
      <c r="C28" s="197">
        <f>ROUND(F28/(1+'数据-取费表'!F30),4)</f>
        <v>5.33E-2</v>
      </c>
      <c r="D28" s="562" t="s">
        <v>882</v>
      </c>
      <c r="E28" s="537" t="s">
        <v>839</v>
      </c>
      <c r="F28" s="560">
        <f>'数据-取费表'!E29</f>
        <v>5.6000000000000001E-2</v>
      </c>
      <c r="G28" s="1267"/>
      <c r="H28" s="543"/>
      <c r="I28" s="544"/>
      <c r="J28" s="545"/>
      <c r="K28" s="567"/>
      <c r="L28" s="537" t="s">
        <v>883</v>
      </c>
      <c r="M28" s="547">
        <f>'数据-取费表'!B37</f>
        <v>0</v>
      </c>
    </row>
    <row r="29" spans="1:37" ht="18" customHeight="1" thickBot="1">
      <c r="A29" s="2500" t="s">
        <v>2237</v>
      </c>
      <c r="B29" s="2501" t="s">
        <v>884</v>
      </c>
      <c r="C29" s="2502">
        <f ca="1">ROUND((C19+C20+C23+C26)/(1-F21-C24-C27-C28),0)</f>
        <v>1214964</v>
      </c>
      <c r="D29" s="2503"/>
      <c r="E29" s="2501"/>
      <c r="F29" s="2504"/>
      <c r="G29" s="1267"/>
      <c r="H29" s="574" t="s">
        <v>48</v>
      </c>
      <c r="I29" s="575" t="s">
        <v>875</v>
      </c>
      <c r="J29" s="576">
        <f ca="1">ROUND(J26/(1+F40)^F41,0)</f>
        <v>0</v>
      </c>
      <c r="K29" s="577" t="s">
        <v>876</v>
      </c>
      <c r="L29" s="578"/>
      <c r="M29" s="579">
        <f>IF(D1="仅计算典型户型",'数据-取费表'!E5,'数据-取费表'!B5)</f>
        <v>255.46</v>
      </c>
    </row>
    <row r="30" spans="1:37" ht="18" customHeight="1" thickTop="1">
      <c r="A30" s="2488" t="s">
        <v>38</v>
      </c>
      <c r="B30" s="2489" t="s">
        <v>840</v>
      </c>
      <c r="C30" s="545">
        <f ca="1">ROUND(C31+C36+C37+C38,0)</f>
        <v>54977</v>
      </c>
      <c r="D30" s="2497" t="s">
        <v>841</v>
      </c>
      <c r="E30" s="2498"/>
      <c r="F30" s="2499"/>
      <c r="G30" s="1267"/>
      <c r="H30" s="2134"/>
      <c r="I30" s="2135"/>
      <c r="J30" s="2136"/>
      <c r="K30" s="2137"/>
      <c r="L30" s="2138"/>
      <c r="M30" s="2139"/>
    </row>
    <row r="31" spans="1:37" ht="18" customHeight="1">
      <c r="A31" s="555" t="s">
        <v>2238</v>
      </c>
      <c r="B31" s="537" t="s">
        <v>377</v>
      </c>
      <c r="C31" s="197">
        <f ca="1">ROUND(IF(项目基本情况!B7="自然人",C5*F31,C32+C33+C34),1)</f>
        <v>25210.6</v>
      </c>
      <c r="D31" s="2437" t="s">
        <v>844</v>
      </c>
      <c r="E31" s="2439" t="s">
        <v>885</v>
      </c>
      <c r="F31" s="561">
        <f>IF(项目基本情况!B7="企业","",IF('数据-取费表'!B10="住宅",5%,IF(F6*F7*F8/12/(1+'数据-取费表'!F30)&gt;20000,12%,7%)))</f>
        <v>0.05</v>
      </c>
      <c r="G31" s="1267"/>
      <c r="H31" s="2134"/>
      <c r="I31" s="2135"/>
      <c r="J31" s="2136"/>
      <c r="K31" s="2137"/>
      <c r="L31" s="2138"/>
      <c r="M31" s="2139"/>
    </row>
    <row r="32" spans="1:37" ht="18" customHeight="1">
      <c r="A32" s="555" t="s">
        <v>2240</v>
      </c>
      <c r="B32" s="537" t="s">
        <v>846</v>
      </c>
      <c r="C32" s="197" t="str">
        <f>IF(项目基本情况!B7="自然人","——",ROUND(C5*F32/(1+'数据-取费表'!F30),0))</f>
        <v>——</v>
      </c>
      <c r="D32" s="2439" t="s">
        <v>847</v>
      </c>
      <c r="E32" s="537" t="s">
        <v>839</v>
      </c>
      <c r="F32" s="570">
        <f>'数据-取费表'!E29</f>
        <v>5.6000000000000001E-2</v>
      </c>
      <c r="G32" s="1267"/>
      <c r="H32" s="2140"/>
      <c r="I32" s="2141"/>
      <c r="J32" s="2142"/>
      <c r="K32" s="2143"/>
      <c r="L32" s="2144"/>
      <c r="M32" s="2145"/>
    </row>
    <row r="33" spans="1:18" ht="18" customHeight="1">
      <c r="A33" s="555" t="s">
        <v>2241</v>
      </c>
      <c r="B33" s="537" t="s">
        <v>849</v>
      </c>
      <c r="C33" s="197" t="str">
        <f>IF(项目基本情况!B7="自然人","——",IF(D33="按租金收入计税",ROUND(C5*F33,1),IF(D33="按房产原值计税",ROUND(C29*F33*0.7,1),'数据-取费表'!B43)))</f>
        <v>——</v>
      </c>
      <c r="D33" s="1090" t="s">
        <v>2224</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2242</v>
      </c>
      <c r="B34" s="297" t="s">
        <v>886</v>
      </c>
      <c r="C34" s="198" t="str">
        <f>IF(项目基本情况!B7="自然人","——",ROUND(F34*F35,0))</f>
        <v>——</v>
      </c>
      <c r="D34" s="564" t="s">
        <v>887</v>
      </c>
      <c r="E34" s="537" t="s">
        <v>888</v>
      </c>
      <c r="F34" s="565">
        <f>'数据-取费表'!E40</f>
        <v>24</v>
      </c>
      <c r="G34" s="1267"/>
      <c r="H34" s="2134"/>
      <c r="I34" s="583" t="s">
        <v>889</v>
      </c>
      <c r="J34" s="584">
        <f ca="1">ROUND(C13*J35,0)</f>
        <v>77758</v>
      </c>
      <c r="K34" s="2148"/>
      <c r="L34" s="2149"/>
      <c r="M34" s="2149"/>
    </row>
    <row r="35" spans="1:18" ht="24.6" customHeight="1">
      <c r="A35" s="2456"/>
      <c r="B35" s="546"/>
      <c r="C35" s="202"/>
      <c r="D35" s="567"/>
      <c r="E35" s="537" t="s">
        <v>857</v>
      </c>
      <c r="F35" s="538">
        <f>IF(D1="仅计算典型户型",'数据-取费表'!E6,'数据-取费表'!B6)</f>
        <v>0</v>
      </c>
      <c r="G35" s="1267"/>
      <c r="H35" s="2134"/>
      <c r="I35" s="585" t="s">
        <v>890</v>
      </c>
      <c r="J35" s="586">
        <f>'数据-取费表'!B17</f>
        <v>0.08</v>
      </c>
      <c r="K35" s="2147"/>
      <c r="L35" s="2146"/>
      <c r="M35" s="2146"/>
    </row>
    <row r="36" spans="1:18" ht="18" customHeight="1">
      <c r="A36" s="2455" t="s">
        <v>2239</v>
      </c>
      <c r="B36" s="537" t="s">
        <v>859</v>
      </c>
      <c r="C36" s="197">
        <f ca="1">ROUND(C29*F36,0)</f>
        <v>18224</v>
      </c>
      <c r="D36" s="2439" t="s">
        <v>891</v>
      </c>
      <c r="E36" s="537" t="s">
        <v>892</v>
      </c>
      <c r="F36" s="568">
        <f>'数据-取费表'!B44</f>
        <v>1.4999999999999999E-2</v>
      </c>
      <c r="G36" s="1267"/>
      <c r="H36" s="2146"/>
      <c r="I36" s="587" t="s">
        <v>893</v>
      </c>
      <c r="J36" s="588"/>
      <c r="K36" s="2150"/>
      <c r="L36" s="2146"/>
      <c r="M36" s="2146"/>
    </row>
    <row r="37" spans="1:18" ht="18" customHeight="1">
      <c r="A37" s="555" t="s">
        <v>2233</v>
      </c>
      <c r="B37" s="537" t="s">
        <v>382</v>
      </c>
      <c r="C37" s="197">
        <f ca="1">ROUND(C13*F37,0)</f>
        <v>1458</v>
      </c>
      <c r="D37" s="2439" t="s">
        <v>383</v>
      </c>
      <c r="E37" s="537" t="s">
        <v>384</v>
      </c>
      <c r="F37" s="569">
        <f>'数据-取费表'!B45</f>
        <v>1.5E-3</v>
      </c>
      <c r="G37" s="1267"/>
      <c r="H37" s="2146"/>
      <c r="I37" s="433" t="s">
        <v>877</v>
      </c>
      <c r="J37" s="589"/>
      <c r="K37" s="2150"/>
      <c r="L37" s="2146"/>
      <c r="M37" s="2146"/>
    </row>
    <row r="38" spans="1:18" ht="18" customHeight="1" thickBot="1">
      <c r="A38" s="2500" t="s">
        <v>2234</v>
      </c>
      <c r="B38" s="2501" t="s">
        <v>381</v>
      </c>
      <c r="C38" s="2502">
        <f ca="1">ROUND(C5*F38,0)</f>
        <v>10084</v>
      </c>
      <c r="D38" s="2503" t="s">
        <v>385</v>
      </c>
      <c r="E38" s="2501" t="s">
        <v>384</v>
      </c>
      <c r="F38" s="2496">
        <f>'数据-取费表'!B46</f>
        <v>0.02</v>
      </c>
      <c r="G38" s="1267"/>
      <c r="H38" s="2146"/>
      <c r="I38" s="583" t="s">
        <v>878</v>
      </c>
      <c r="J38" s="437">
        <f ca="1">ROUND(J34/C39,3)</f>
        <v>0.17299999999999999</v>
      </c>
      <c r="K38" s="2151"/>
      <c r="L38" s="2146"/>
      <c r="M38" s="2146"/>
    </row>
    <row r="39" spans="1:18" ht="18" customHeight="1" thickTop="1">
      <c r="A39" s="2488" t="s">
        <v>46</v>
      </c>
      <c r="B39" s="2505" t="s">
        <v>391</v>
      </c>
      <c r="C39" s="545">
        <f ca="1">C5-C30</f>
        <v>449234</v>
      </c>
      <c r="D39" s="2506" t="s">
        <v>392</v>
      </c>
      <c r="E39" s="2507"/>
      <c r="F39" s="2508"/>
      <c r="G39" s="1267"/>
      <c r="H39" s="2146"/>
      <c r="I39" s="583" t="s">
        <v>879</v>
      </c>
      <c r="J39" s="437">
        <f ca="1">1-J38</f>
        <v>0.82699999999999996</v>
      </c>
      <c r="K39" s="2151"/>
      <c r="L39" s="2146"/>
      <c r="M39" s="2146"/>
    </row>
    <row r="40" spans="1:18" s="1267" customFormat="1" ht="18" customHeight="1">
      <c r="A40" s="534" t="s">
        <v>47</v>
      </c>
      <c r="B40" s="535" t="s">
        <v>393</v>
      </c>
      <c r="C40" s="536">
        <f ca="1">ROUND(C39*(1-((1+F42)/(1+F40))^F41)/(F40-F42),0)</f>
        <v>11249921</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2807</v>
      </c>
      <c r="F41" s="573">
        <f>IF('数据-取费表'!B28="租赁期内按合同租金",'数据-取费表'!B34,IF(E41="收益年期(n)",'数据-取费表'!B33,'数据-取费表'!B13))</f>
        <v>48</v>
      </c>
      <c r="H41" s="2153"/>
      <c r="I41" s="436" t="s">
        <v>371</v>
      </c>
      <c r="J41" s="437">
        <f ca="1">ROUND(C13/C40,3)</f>
        <v>8.5999999999999993E-2</v>
      </c>
      <c r="K41" s="2150"/>
      <c r="L41" s="2153"/>
      <c r="M41" s="2153"/>
      <c r="Q41" s="1271"/>
    </row>
    <row r="42" spans="1:18" s="1267" customFormat="1" ht="18" customHeight="1">
      <c r="A42" s="543"/>
      <c r="B42" s="544"/>
      <c r="C42" s="545"/>
      <c r="D42" s="567"/>
      <c r="E42" s="537" t="s">
        <v>396</v>
      </c>
      <c r="F42" s="547">
        <f>'数据-取费表'!B31</f>
        <v>0.02</v>
      </c>
      <c r="H42" s="2153"/>
      <c r="I42" s="436" t="s">
        <v>372</v>
      </c>
      <c r="J42" s="438">
        <f ca="1">1-J41</f>
        <v>0.91400000000000003</v>
      </c>
      <c r="K42" s="2150"/>
      <c r="L42" s="2153"/>
      <c r="M42" s="2153"/>
      <c r="Q42" s="1271"/>
    </row>
    <row r="43" spans="1:18" s="1267" customFormat="1" ht="18" customHeight="1" thickBot="1">
      <c r="A43" s="574" t="s">
        <v>48</v>
      </c>
      <c r="B43" s="575" t="s">
        <v>397</v>
      </c>
      <c r="C43" s="576">
        <f ca="1">ROUND(C40/F43,0)</f>
        <v>44038</v>
      </c>
      <c r="D43" s="577" t="s">
        <v>398</v>
      </c>
      <c r="E43" s="578" t="s">
        <v>399</v>
      </c>
      <c r="F43" s="579">
        <f>IF(D1="仅计算典型户型",'数据-取费表'!E5,'数据-取费表'!B5)</f>
        <v>255.46</v>
      </c>
      <c r="G43" s="1269"/>
      <c r="H43" s="2153"/>
      <c r="I43" s="2153"/>
      <c r="J43" s="2153"/>
      <c r="K43" s="2150"/>
      <c r="L43" s="2153"/>
      <c r="M43" s="2153"/>
      <c r="O43" s="2390" t="s">
        <v>2342</v>
      </c>
      <c r="P43" s="2391"/>
      <c r="Q43" s="2387"/>
      <c r="R43" s="2391"/>
    </row>
    <row r="44" spans="1:18" s="1267" customFormat="1" ht="18" customHeight="1" thickBot="1">
      <c r="A44" s="1223"/>
      <c r="B44" s="1223"/>
      <c r="C44" s="1266"/>
      <c r="D44" s="1223"/>
      <c r="E44" s="1223"/>
      <c r="F44" s="1223"/>
      <c r="G44" s="1269"/>
      <c r="K44" s="1268"/>
      <c r="O44" s="2392" t="s">
        <v>2343</v>
      </c>
      <c r="P44" s="2393" t="s">
        <v>2344</v>
      </c>
      <c r="Q44" s="2394" t="s">
        <v>2345</v>
      </c>
      <c r="R44" s="2395" t="s">
        <v>2346</v>
      </c>
    </row>
    <row r="45" spans="1:18" s="1267" customFormat="1" ht="18" customHeight="1" thickBot="1">
      <c r="A45" s="1223"/>
      <c r="B45" s="1223"/>
      <c r="C45" s="1266"/>
      <c r="D45" s="1223"/>
      <c r="E45" s="1223"/>
      <c r="F45" s="1223"/>
      <c r="G45" s="1270"/>
      <c r="K45" s="1268"/>
      <c r="O45" s="2396" t="s">
        <v>2347</v>
      </c>
      <c r="P45" s="2405" t="s">
        <v>2373</v>
      </c>
      <c r="Q45" s="2398">
        <f ca="1">C40+J29</f>
        <v>11249921</v>
      </c>
      <c r="R45" s="2399" t="s">
        <v>2348</v>
      </c>
    </row>
    <row r="46" spans="1:18" s="1267" customFormat="1" ht="18" customHeight="1" thickBot="1">
      <c r="A46" s="1223"/>
      <c r="D46" s="1223"/>
      <c r="E46" s="1223"/>
      <c r="F46" s="1223"/>
      <c r="K46" s="1268"/>
      <c r="O46" s="2396" t="s">
        <v>2349</v>
      </c>
      <c r="P46" s="2405" t="s">
        <v>2374</v>
      </c>
      <c r="Q46" s="2398" t="str">
        <f>J61</f>
        <v>0</v>
      </c>
      <c r="R46" s="2399" t="s">
        <v>2350</v>
      </c>
    </row>
    <row r="47" spans="1:18" s="1267" customFormat="1" ht="21" thickBot="1">
      <c r="A47" s="2273" t="s">
        <v>2231</v>
      </c>
      <c r="B47" s="2270"/>
      <c r="C47" s="2282">
        <f ca="1">IF(C2="元",C69-C40,ROUND((C69-C40)/10000,0))</f>
        <v>-324</v>
      </c>
      <c r="D47" s="2283" t="str">
        <f>C2</f>
        <v>万元</v>
      </c>
      <c r="E47" s="1223"/>
      <c r="F47" s="1223"/>
      <c r="I47" s="2358" t="s">
        <v>2313</v>
      </c>
      <c r="J47" s="2359"/>
      <c r="K47" s="2360"/>
      <c r="L47" s="2386">
        <f>IF(M48="住宅",0,IF(L49&gt;J52,L61,J61))</f>
        <v>0</v>
      </c>
      <c r="O47" s="2400" t="s">
        <v>2351</v>
      </c>
      <c r="P47" s="2405" t="s">
        <v>2375</v>
      </c>
      <c r="Q47" s="2398">
        <f ca="1">C29</f>
        <v>1214964</v>
      </c>
      <c r="R47" s="2399" t="s">
        <v>2348</v>
      </c>
    </row>
    <row r="48" spans="1:18" s="1267" customFormat="1" ht="15.75" thickBot="1">
      <c r="A48" s="530" t="s">
        <v>822</v>
      </c>
      <c r="B48" s="531" t="s">
        <v>823</v>
      </c>
      <c r="C48" s="531" t="s">
        <v>824</v>
      </c>
      <c r="D48" s="531" t="s">
        <v>825</v>
      </c>
      <c r="E48" s="2276" t="s">
        <v>826</v>
      </c>
      <c r="F48" s="2277"/>
      <c r="H48" s="2351"/>
      <c r="I48" s="2361" t="s">
        <v>2314</v>
      </c>
      <c r="J48" s="2362" t="s">
        <v>2935</v>
      </c>
      <c r="K48" s="2363" t="s">
        <v>2315</v>
      </c>
      <c r="L48" s="2364">
        <f>'数据-取费表'!B11</f>
        <v>70</v>
      </c>
      <c r="M48" s="2387" t="str">
        <f>IF('数据-取费表'!B10="住宅","住宅","非住宅")</f>
        <v>住宅</v>
      </c>
      <c r="O48" s="2400" t="s">
        <v>2352</v>
      </c>
      <c r="P48" s="2397" t="s">
        <v>2353</v>
      </c>
      <c r="Q48" s="2401" t="e">
        <f>J59</f>
        <v>#VALUE!</v>
      </c>
      <c r="R48" s="2399"/>
    </row>
    <row r="49" spans="1:18" s="1267" customFormat="1" ht="15.75" thickBot="1">
      <c r="A49" s="2531" t="s">
        <v>2523</v>
      </c>
      <c r="B49" s="535" t="s">
        <v>827</v>
      </c>
      <c r="C49" s="2532">
        <f ca="1">C50+C54+C56</f>
        <v>396282</v>
      </c>
      <c r="D49" s="2533"/>
      <c r="E49" s="318"/>
      <c r="F49" s="199"/>
      <c r="H49" s="2351"/>
      <c r="I49" s="2354" t="s">
        <v>2316</v>
      </c>
      <c r="J49" s="2365" t="s">
        <v>2302</v>
      </c>
      <c r="K49" s="2366" t="s">
        <v>2317</v>
      </c>
      <c r="L49" s="1947">
        <f>'数据-取费表'!B13</f>
        <v>56.56</v>
      </c>
      <c r="O49" s="2400" t="s">
        <v>2354</v>
      </c>
      <c r="P49" s="2397" t="s">
        <v>2355</v>
      </c>
      <c r="Q49" s="2401">
        <f>J53</f>
        <v>0.08</v>
      </c>
      <c r="R49" s="2399"/>
    </row>
    <row r="50" spans="1:18" s="1267" customFormat="1" ht="15.75" thickBot="1">
      <c r="A50" s="563" t="s">
        <v>2525</v>
      </c>
      <c r="B50" s="1813" t="s">
        <v>2524</v>
      </c>
      <c r="C50" s="536">
        <f>ROUND(F50*F52*F51*(1-F53),0)</f>
        <v>396282</v>
      </c>
      <c r="D50" s="310" t="s">
        <v>828</v>
      </c>
      <c r="E50" s="2275" t="s">
        <v>2230</v>
      </c>
      <c r="F50" s="2278">
        <v>5</v>
      </c>
      <c r="H50" s="2351"/>
      <c r="I50" s="2354" t="s">
        <v>2318</v>
      </c>
      <c r="J50" s="1947">
        <f>'数据-取费表'!B26</f>
        <v>2005</v>
      </c>
      <c r="K50" s="2367" t="s">
        <v>2319</v>
      </c>
      <c r="L50" s="2368"/>
      <c r="O50" s="2400" t="s">
        <v>2356</v>
      </c>
      <c r="P50" s="2397" t="s">
        <v>2357</v>
      </c>
      <c r="Q50" s="2398">
        <f>J54</f>
        <v>48</v>
      </c>
      <c r="R50" s="2399" t="s">
        <v>2358</v>
      </c>
    </row>
    <row r="51" spans="1:18" s="1267" customFormat="1" ht="15.75" thickBot="1">
      <c r="A51" s="539"/>
      <c r="B51" s="540"/>
      <c r="C51" s="541"/>
      <c r="D51" s="542"/>
      <c r="E51" s="557" t="s">
        <v>830</v>
      </c>
      <c r="F51" s="2274">
        <f>F7</f>
        <v>255.46</v>
      </c>
      <c r="H51" s="2351"/>
      <c r="I51" s="2354" t="s">
        <v>2320</v>
      </c>
      <c r="J51" s="2369">
        <f>SUMPRODUCT((I64:I66=J48)*(J63:L63=J49)*(J64:L66))</f>
        <v>60</v>
      </c>
      <c r="K51" s="2367" t="s">
        <v>2321</v>
      </c>
      <c r="L51" s="2368"/>
      <c r="O51" s="2396" t="s">
        <v>2359</v>
      </c>
      <c r="P51" s="2397" t="str">
        <f>IF(C2="元","收益价值(元)","收益价值(万元)")</f>
        <v>收益价值(万元)</v>
      </c>
      <c r="Q51" s="2398">
        <f ca="1">ROUND(IF(C2="元",Q45+Q46,(Q45+Q46)/10000),0)</f>
        <v>1125</v>
      </c>
      <c r="R51" s="2399" t="s">
        <v>2360</v>
      </c>
    </row>
    <row r="52" spans="1:18" s="1267" customFormat="1" ht="16.5" thickBot="1">
      <c r="A52" s="539"/>
      <c r="B52" s="540"/>
      <c r="C52" s="541"/>
      <c r="D52" s="542"/>
      <c r="E52" s="537" t="s">
        <v>831</v>
      </c>
      <c r="F52" s="538">
        <f>F8</f>
        <v>365</v>
      </c>
      <c r="H52" s="2351"/>
      <c r="I52" s="2370" t="s">
        <v>2322</v>
      </c>
      <c r="J52" s="2371">
        <f>IF(J50="",J51,J50+J51-YEAR('数据-取费表'!B2))</f>
        <v>48</v>
      </c>
      <c r="K52" s="2372" t="s">
        <v>2323</v>
      </c>
      <c r="L52" s="2373">
        <f ca="1">ROUND(-PV('数据-取费表'!B15,L49,(C40-C13*J35)),0)</f>
        <v>227677877</v>
      </c>
      <c r="O52" s="2390" t="s">
        <v>2361</v>
      </c>
      <c r="P52" s="2391"/>
      <c r="Q52" s="2387"/>
      <c r="R52" s="2391"/>
    </row>
    <row r="53" spans="1:18" s="1267" customFormat="1" ht="15.75" thickBot="1">
      <c r="A53" s="543"/>
      <c r="B53" s="544"/>
      <c r="C53" s="545"/>
      <c r="D53" s="546"/>
      <c r="E53" s="537" t="s">
        <v>832</v>
      </c>
      <c r="F53" s="2385">
        <v>0.15</v>
      </c>
      <c r="H53" s="2351"/>
      <c r="I53" s="2374" t="s">
        <v>2324</v>
      </c>
      <c r="J53" s="2375">
        <v>0.08</v>
      </c>
      <c r="K53" s="2374" t="s">
        <v>2325</v>
      </c>
      <c r="L53" s="2375"/>
      <c r="O53" s="2392" t="s">
        <v>2343</v>
      </c>
      <c r="P53" s="2393" t="s">
        <v>2344</v>
      </c>
      <c r="Q53" s="2394" t="s">
        <v>2345</v>
      </c>
      <c r="R53" s="2395" t="s">
        <v>2346</v>
      </c>
    </row>
    <row r="54" spans="1:18" s="1267" customFormat="1" ht="29.25" thickBot="1">
      <c r="A54" s="2445" t="s">
        <v>2239</v>
      </c>
      <c r="B54" s="2448" t="s">
        <v>2446</v>
      </c>
      <c r="C54" s="2447">
        <f ca="1">ROUND(IF(F54="押一",F50*F51*F52/12*F11,IF(F54="押二",F50*F51*F52/12*2*F11,IF(F54="押三",F50*F51*F52/12*3*F11,C55*F11))),0)</f>
        <v>0</v>
      </c>
      <c r="D54" s="2446" t="s">
        <v>2449</v>
      </c>
      <c r="E54" s="2441" t="s">
        <v>2450</v>
      </c>
      <c r="F54" s="2449"/>
      <c r="H54" s="2351"/>
      <c r="I54" s="2376" t="s">
        <v>2326</v>
      </c>
      <c r="J54" s="2377">
        <f>IF(M48="住宅",J52,MIN(J52,L49))</f>
        <v>48</v>
      </c>
      <c r="K54" s="337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6"/>
      <c r="O54" s="2396" t="s">
        <v>2347</v>
      </c>
      <c r="P54" s="2405" t="s">
        <v>2373</v>
      </c>
      <c r="Q54" s="2398">
        <f ca="1">C40+J29</f>
        <v>11249921</v>
      </c>
      <c r="R54" s="2399" t="s">
        <v>2348</v>
      </c>
    </row>
    <row r="55" spans="1:18" s="1267" customFormat="1" ht="20.25" thickBot="1">
      <c r="A55" s="2445"/>
      <c r="B55" s="2603" t="s">
        <v>2575</v>
      </c>
      <c r="C55" s="2486"/>
      <c r="D55" s="2602"/>
      <c r="E55" s="2534"/>
      <c r="F55" s="2279"/>
      <c r="H55" s="2351"/>
      <c r="I55" s="2152"/>
      <c r="J55" s="2378"/>
      <c r="K55" s="2378"/>
      <c r="L55" s="2378"/>
      <c r="O55" s="2396" t="s">
        <v>2349</v>
      </c>
      <c r="P55" s="2405" t="s">
        <v>2376</v>
      </c>
      <c r="Q55" s="2398">
        <f>L61</f>
        <v>0</v>
      </c>
      <c r="R55" s="2399" t="s">
        <v>2362</v>
      </c>
    </row>
    <row r="56" spans="1:18" s="1267" customFormat="1" ht="20.25" thickBot="1">
      <c r="A56" s="2492" t="s">
        <v>2514</v>
      </c>
      <c r="B56" s="2493" t="s">
        <v>2452</v>
      </c>
      <c r="C56" s="2494"/>
      <c r="D56" s="2605"/>
      <c r="E56" s="2606"/>
      <c r="F56" s="2607"/>
      <c r="H56" s="2351"/>
      <c r="I56" s="3103" t="s">
        <v>2327</v>
      </c>
      <c r="J56" s="3105" t="e">
        <f>ROUND(IF(J48="钢混",J58/J51,1-(1-2%)*(J51-J58)/J51),3)</f>
        <v>#VALUE!</v>
      </c>
      <c r="K56" s="2379" t="s">
        <v>2328</v>
      </c>
      <c r="L56" s="2380"/>
      <c r="O56" s="2400" t="s">
        <v>2351</v>
      </c>
      <c r="P56" s="2397" t="s">
        <v>2377</v>
      </c>
      <c r="Q56" s="2398">
        <f>IF(L56="比较法",L50,IF(L56="基准地价",L51,0))</f>
        <v>0</v>
      </c>
      <c r="R56" s="2399" t="s">
        <v>2348</v>
      </c>
    </row>
    <row r="57" spans="1:18" s="1267" customFormat="1" ht="44.25" thickTop="1" thickBot="1">
      <c r="A57" s="2488">
        <v>2</v>
      </c>
      <c r="B57" s="2489" t="s">
        <v>833</v>
      </c>
      <c r="C57" s="2604">
        <f ca="1">C13</f>
        <v>971971</v>
      </c>
      <c r="D57" s="2271"/>
      <c r="E57" s="2272"/>
      <c r="F57" s="2281"/>
      <c r="H57" s="2351"/>
      <c r="I57" s="2352" t="s">
        <v>2329</v>
      </c>
      <c r="J57" s="2384"/>
      <c r="K57" s="2354" t="s">
        <v>2334</v>
      </c>
      <c r="L57" s="1947">
        <f>IF(L49&lt;J52,"——",L49-J52)</f>
        <v>8.5600000000000023</v>
      </c>
      <c r="O57" s="2400" t="s">
        <v>2352</v>
      </c>
      <c r="P57" s="2397" t="s">
        <v>2363</v>
      </c>
      <c r="Q57" s="2401">
        <f>L53</f>
        <v>0</v>
      </c>
      <c r="R57" s="2399"/>
    </row>
    <row r="58" spans="1:18" s="1267" customFormat="1" ht="29.25" thickBot="1">
      <c r="A58" s="2280"/>
      <c r="B58" s="537" t="s">
        <v>884</v>
      </c>
      <c r="C58" s="405">
        <f ca="1">C29</f>
        <v>1214964</v>
      </c>
      <c r="D58" s="2271"/>
      <c r="E58" s="2272"/>
      <c r="F58" s="2281"/>
      <c r="H58" s="2351"/>
      <c r="I58" s="2353" t="s">
        <v>2330</v>
      </c>
      <c r="J58" s="2383" t="str">
        <f>IF(OR(M48="住宅",J52&lt;L49,J57="是"),"——",J52-L49)</f>
        <v>——</v>
      </c>
      <c r="K58" s="2354" t="s">
        <v>2335</v>
      </c>
      <c r="L58" s="1947">
        <f ca="1">IF(L49&lt;J52,"——",IF(L56="比较法",L50,IF(L56="基准地价",L51,L52)))</f>
        <v>227677877</v>
      </c>
      <c r="O58" s="2400" t="s">
        <v>2354</v>
      </c>
      <c r="P58" s="2397" t="s">
        <v>2364</v>
      </c>
      <c r="Q58" s="2398">
        <f>L59</f>
        <v>0</v>
      </c>
      <c r="R58" s="2399" t="s">
        <v>2365</v>
      </c>
    </row>
    <row r="59" spans="1:18" s="1267" customFormat="1" ht="29.25" thickBot="1">
      <c r="A59" s="550" t="s">
        <v>38</v>
      </c>
      <c r="B59" s="551" t="s">
        <v>840</v>
      </c>
      <c r="C59" s="552">
        <f ca="1">ROUND(C60+C65+C66+C67,0)</f>
        <v>47422</v>
      </c>
      <c r="D59" s="195" t="s">
        <v>841</v>
      </c>
      <c r="E59" s="2269"/>
      <c r="F59" s="199"/>
      <c r="H59" s="2351"/>
      <c r="I59" s="2353" t="s">
        <v>2331</v>
      </c>
      <c r="J59" s="3104" t="e">
        <f>IF(J56&lt;0.4,0.4,J56)</f>
        <v>#VALUE!</v>
      </c>
      <c r="K59" s="2372" t="s">
        <v>2336</v>
      </c>
      <c r="L59" s="1947">
        <f>IF(ISERROR(POWER(1+L53,L48-L49)*(POWER(1+L53,L49)-1)/(POWER(1+L53,L48)-1)),0,POWER(1+L53,L48-L49)*(POWER(1+L53,L49)-1)/(POWER(1+L53,L48)-1))</f>
        <v>0</v>
      </c>
      <c r="O59" s="2400" t="s">
        <v>2356</v>
      </c>
      <c r="P59" s="2397" t="s">
        <v>2366</v>
      </c>
      <c r="Q59" s="2398">
        <f>L60</f>
        <v>0</v>
      </c>
      <c r="R59" s="2399" t="s">
        <v>2367</v>
      </c>
    </row>
    <row r="60" spans="1:18" s="1267" customFormat="1" ht="29.25" thickBot="1">
      <c r="A60" s="555" t="s">
        <v>39</v>
      </c>
      <c r="B60" s="537" t="s">
        <v>377</v>
      </c>
      <c r="C60" s="197">
        <f ca="1">ROUND(IF(项目基本情况!B7="自然人",C49*F60,C61+C62+C63),1)</f>
        <v>19814.099999999999</v>
      </c>
      <c r="D60" s="2266" t="s">
        <v>844</v>
      </c>
      <c r="E60" s="2267" t="s">
        <v>885</v>
      </c>
      <c r="F60" s="561">
        <f>IF(项目基本情况!B7="企业","",IF('数据-取费表'!B10="住宅",5%,IF(F50*F51*F52/12/(1+'数据-取费表'!F30)&gt;20000,12%,7%)))</f>
        <v>0.05</v>
      </c>
      <c r="I60" s="2353" t="s">
        <v>2332</v>
      </c>
      <c r="J60" s="2383" t="str">
        <f>IF(OR(M48="住宅",J52&lt;L49,J57="是"),"——",ROUND(C29*J59,0))</f>
        <v>——</v>
      </c>
      <c r="K60" s="2372" t="s">
        <v>2337</v>
      </c>
      <c r="L60" s="1947">
        <f>IF(ISERROR(POWER(1+L53,L48-J52)*(POWER(1+L53,J52)-1)/(POWER(1+L53,L48)-1)),0,POWER(1+L53,L48-J52)*(POWER(1+L53,J52)-1)/(POWER(1+L53,L48)-1))</f>
        <v>0</v>
      </c>
      <c r="O60" s="2396" t="s">
        <v>2359</v>
      </c>
      <c r="P60" s="2397" t="str">
        <f>IF(C2="元","收益价值(元)","收益价值(万元)")</f>
        <v>收益价值(万元)</v>
      </c>
      <c r="Q60" s="2398">
        <f ca="1">ROUND(IF(C2="元",Q54+Q55,(Q54+Q55)/10000),0)</f>
        <v>1125</v>
      </c>
      <c r="R60" s="2399" t="s">
        <v>2360</v>
      </c>
    </row>
    <row r="61" spans="1:18" s="1267" customFormat="1" ht="16.5" thickBot="1">
      <c r="A61" s="555" t="s">
        <v>40</v>
      </c>
      <c r="B61" s="537" t="s">
        <v>846</v>
      </c>
      <c r="C61" s="197" t="str">
        <f>IF(项目基本情况!B7="自然人","——",ROUND(C49*F61/(1+'数据-取费表'!F30),0))</f>
        <v>——</v>
      </c>
      <c r="D61" s="2267" t="s">
        <v>847</v>
      </c>
      <c r="E61" s="537" t="s">
        <v>379</v>
      </c>
      <c r="F61" s="570">
        <f t="shared" ref="F61:F67" si="0">F32</f>
        <v>5.6000000000000001E-2</v>
      </c>
      <c r="I61" s="2355" t="s">
        <v>2333</v>
      </c>
      <c r="J61" s="2382" t="str">
        <f>IF(OR(M48="住宅",J52&lt;L49,J57="是"),"0",ROUND(J60/(1+J53)^J54,0))</f>
        <v>0</v>
      </c>
      <c r="K61" s="2381" t="s">
        <v>2338</v>
      </c>
      <c r="L61" s="2382">
        <f>IF(OR(M48="住宅",L49&lt;J52),0,ROUND(L58*(L59/L60-1),0))</f>
        <v>0</v>
      </c>
      <c r="O61" s="2390" t="s">
        <v>2368</v>
      </c>
      <c r="P61" s="2391"/>
      <c r="Q61" s="2387"/>
      <c r="R61" s="2391"/>
    </row>
    <row r="62" spans="1:18" s="1267" customFormat="1" ht="15.75" thickBot="1">
      <c r="A62" s="555" t="s">
        <v>41</v>
      </c>
      <c r="B62" s="537" t="s">
        <v>849</v>
      </c>
      <c r="C62" s="197" t="str">
        <f>IF(项目基本情况!B7="自然人","——",IF(D62="按租金收入计税",ROUND(C49*F62,1),IF(D62="按房产原值计税",ROUND(C58*F62*0.7,1),'数据-取费表'!B43)))</f>
        <v>——</v>
      </c>
      <c r="D62" s="1090" t="s">
        <v>2224</v>
      </c>
      <c r="E62" s="537" t="s">
        <v>379</v>
      </c>
      <c r="F62" s="560">
        <f t="shared" si="0"/>
        <v>1.2E-2</v>
      </c>
      <c r="O62" s="2392" t="s">
        <v>2343</v>
      </c>
      <c r="P62" s="2393" t="s">
        <v>2344</v>
      </c>
      <c r="Q62" s="2394" t="s">
        <v>2345</v>
      </c>
      <c r="R62" s="2395" t="s">
        <v>2346</v>
      </c>
    </row>
    <row r="63" spans="1:18" s="1267" customFormat="1" ht="15.75" thickBot="1">
      <c r="A63" s="563" t="s">
        <v>42</v>
      </c>
      <c r="B63" s="297" t="s">
        <v>886</v>
      </c>
      <c r="C63" s="198" t="str">
        <f>IF(项目基本情况!B7="自然人","——",ROUND(F63*F64,0))</f>
        <v>——</v>
      </c>
      <c r="D63" s="564" t="s">
        <v>887</v>
      </c>
      <c r="E63" s="537" t="s">
        <v>888</v>
      </c>
      <c r="F63" s="565">
        <f t="shared" si="0"/>
        <v>24</v>
      </c>
      <c r="I63" s="2356" t="s">
        <v>2312</v>
      </c>
      <c r="J63" s="2357" t="s">
        <v>2304</v>
      </c>
      <c r="K63" s="2357" t="s">
        <v>2306</v>
      </c>
      <c r="L63" s="2357" t="s">
        <v>2302</v>
      </c>
      <c r="M63" s="3108" t="s">
        <v>2904</v>
      </c>
      <c r="O63" s="2396" t="s">
        <v>2347</v>
      </c>
      <c r="P63" s="2405" t="s">
        <v>2378</v>
      </c>
      <c r="Q63" s="2398">
        <f ca="1">C40+J29</f>
        <v>11249921</v>
      </c>
      <c r="R63" s="2399" t="s">
        <v>2348</v>
      </c>
    </row>
    <row r="64" spans="1:18" s="1267" customFormat="1" ht="20.25" thickBot="1">
      <c r="A64" s="566"/>
      <c r="B64" s="546"/>
      <c r="C64" s="202"/>
      <c r="D64" s="567"/>
      <c r="E64" s="537" t="s">
        <v>857</v>
      </c>
      <c r="F64" s="538">
        <f t="shared" si="0"/>
        <v>0</v>
      </c>
      <c r="I64" s="2356" t="s">
        <v>2339</v>
      </c>
      <c r="J64" s="3109">
        <v>70</v>
      </c>
      <c r="K64" s="3109">
        <v>50</v>
      </c>
      <c r="L64" s="3109">
        <v>80</v>
      </c>
      <c r="M64" s="3106">
        <v>0.02</v>
      </c>
      <c r="O64" s="2396" t="s">
        <v>2349</v>
      </c>
      <c r="P64" s="2405" t="s">
        <v>2376</v>
      </c>
      <c r="Q64" s="2398">
        <f>L61</f>
        <v>0</v>
      </c>
      <c r="R64" s="2399" t="s">
        <v>2362</v>
      </c>
    </row>
    <row r="65" spans="1:18" s="1267" customFormat="1" ht="23.25" thickBot="1">
      <c r="A65" s="555" t="s">
        <v>43</v>
      </c>
      <c r="B65" s="537" t="s">
        <v>859</v>
      </c>
      <c r="C65" s="197">
        <f ca="1">ROUND(C58*F65,0)</f>
        <v>18224</v>
      </c>
      <c r="D65" s="2267" t="s">
        <v>891</v>
      </c>
      <c r="E65" s="537" t="s">
        <v>892</v>
      </c>
      <c r="F65" s="568">
        <f t="shared" si="0"/>
        <v>1.4999999999999999E-2</v>
      </c>
      <c r="I65" s="2356" t="s">
        <v>2340</v>
      </c>
      <c r="J65" s="3109">
        <v>50</v>
      </c>
      <c r="K65" s="3109">
        <v>35</v>
      </c>
      <c r="L65" s="3109">
        <v>60</v>
      </c>
      <c r="M65" s="3107">
        <v>0</v>
      </c>
      <c r="O65" s="2400" t="s">
        <v>2351</v>
      </c>
      <c r="P65" s="2397" t="s">
        <v>2377</v>
      </c>
      <c r="Q65" s="2402">
        <f ca="1">L52</f>
        <v>227677877</v>
      </c>
      <c r="R65" s="2403" t="s">
        <v>2382</v>
      </c>
    </row>
    <row r="66" spans="1:18" s="1267" customFormat="1" ht="20.25" thickBot="1">
      <c r="A66" s="555" t="s">
        <v>44</v>
      </c>
      <c r="B66" s="537" t="s">
        <v>382</v>
      </c>
      <c r="C66" s="197">
        <f ca="1">ROUND(C57*F66,0)</f>
        <v>1458</v>
      </c>
      <c r="D66" s="2267" t="s">
        <v>383</v>
      </c>
      <c r="E66" s="537" t="s">
        <v>384</v>
      </c>
      <c r="F66" s="569">
        <f t="shared" si="0"/>
        <v>1.5E-3</v>
      </c>
      <c r="I66" s="2356" t="s">
        <v>2341</v>
      </c>
      <c r="J66" s="3109">
        <v>40</v>
      </c>
      <c r="K66" s="3109">
        <v>30</v>
      </c>
      <c r="L66" s="3109">
        <v>50</v>
      </c>
      <c r="M66" s="3106">
        <v>0.02</v>
      </c>
      <c r="O66" s="2400" t="s">
        <v>2352</v>
      </c>
      <c r="P66" s="2404" t="s">
        <v>2379</v>
      </c>
      <c r="Q66" s="2398">
        <f ca="1">ROUND(Q67-Q68*Q69,0)</f>
        <v>371476</v>
      </c>
      <c r="R66" s="2399"/>
    </row>
    <row r="67" spans="1:18" s="1267" customFormat="1" ht="15.75" thickBot="1">
      <c r="A67" s="555" t="s">
        <v>45</v>
      </c>
      <c r="B67" s="537" t="s">
        <v>381</v>
      </c>
      <c r="C67" s="197">
        <f ca="1">ROUND(C49*F67,0)</f>
        <v>7926</v>
      </c>
      <c r="D67" s="2267" t="s">
        <v>385</v>
      </c>
      <c r="E67" s="537" t="s">
        <v>384</v>
      </c>
      <c r="F67" s="547">
        <f t="shared" si="0"/>
        <v>0.02</v>
      </c>
      <c r="O67" s="2400" t="s">
        <v>2369</v>
      </c>
      <c r="P67" s="2406" t="s">
        <v>2380</v>
      </c>
      <c r="Q67" s="2398">
        <f ca="1">C39</f>
        <v>449234</v>
      </c>
      <c r="R67" s="2399" t="s">
        <v>2348</v>
      </c>
    </row>
    <row r="68" spans="1:18" ht="24.75" thickBot="1">
      <c r="A68" s="550" t="s">
        <v>46</v>
      </c>
      <c r="B68" s="306" t="s">
        <v>391</v>
      </c>
      <c r="C68" s="552">
        <f ca="1">C49-C59</f>
        <v>348860</v>
      </c>
      <c r="D68" s="2266" t="s">
        <v>392</v>
      </c>
      <c r="E68" s="2268"/>
      <c r="F68" s="571"/>
      <c r="H68" s="1267"/>
      <c r="I68" s="1267"/>
      <c r="J68" s="1267"/>
      <c r="K68" s="1267"/>
      <c r="L68" s="1267"/>
      <c r="M68" s="1267"/>
      <c r="O68" s="2400" t="s">
        <v>2370</v>
      </c>
      <c r="P68" s="2406" t="s">
        <v>2381</v>
      </c>
      <c r="Q68" s="2398">
        <f ca="1">C13</f>
        <v>971971</v>
      </c>
      <c r="R68" s="2399" t="s">
        <v>2348</v>
      </c>
    </row>
    <row r="69" spans="1:18" ht="15.75" thickBot="1">
      <c r="A69" s="534" t="s">
        <v>47</v>
      </c>
      <c r="B69" s="535" t="s">
        <v>393</v>
      </c>
      <c r="C69" s="536">
        <f ca="1">ROUND(C68*(1-((1+F71)/(1+F69))^F70)/(F69-F71),0)</f>
        <v>8009185</v>
      </c>
      <c r="D69" s="564" t="s">
        <v>387</v>
      </c>
      <c r="E69" s="537" t="s">
        <v>388</v>
      </c>
      <c r="F69" s="547">
        <f>F40</f>
        <v>0.05</v>
      </c>
      <c r="H69" s="1267"/>
      <c r="I69" s="1267"/>
      <c r="J69" s="1267"/>
      <c r="K69" s="1267"/>
      <c r="L69" s="1267"/>
      <c r="M69" s="1267"/>
      <c r="O69" s="2400" t="s">
        <v>2371</v>
      </c>
      <c r="P69" s="2404" t="s">
        <v>2372</v>
      </c>
      <c r="Q69" s="2401">
        <f>J35</f>
        <v>0.08</v>
      </c>
      <c r="R69" s="2399"/>
    </row>
    <row r="70" spans="1:18" ht="15.75" thickBot="1">
      <c r="A70" s="539"/>
      <c r="B70" s="540"/>
      <c r="C70" s="541"/>
      <c r="D70" s="572" t="s">
        <v>394</v>
      </c>
      <c r="E70" s="537" t="s">
        <v>395</v>
      </c>
      <c r="F70" s="573">
        <f>F41</f>
        <v>48</v>
      </c>
      <c r="H70" s="1267"/>
      <c r="I70" s="1267"/>
      <c r="J70" s="1267"/>
      <c r="K70" s="1267"/>
      <c r="L70" s="1267"/>
      <c r="M70" s="1267"/>
      <c r="O70" s="2400" t="s">
        <v>2354</v>
      </c>
      <c r="P70" s="2397" t="s">
        <v>2363</v>
      </c>
      <c r="Q70" s="2401">
        <f>L53</f>
        <v>0</v>
      </c>
      <c r="R70" s="2399"/>
    </row>
    <row r="71" spans="1:18" ht="20.25" thickBot="1">
      <c r="A71" s="543"/>
      <c r="B71" s="544"/>
      <c r="C71" s="545"/>
      <c r="D71" s="567"/>
      <c r="E71" s="537" t="s">
        <v>396</v>
      </c>
      <c r="F71" s="2385">
        <v>1.4999999999999999E-2</v>
      </c>
      <c r="H71" s="1267"/>
      <c r="M71" s="1267"/>
      <c r="O71" s="2400" t="s">
        <v>2356</v>
      </c>
      <c r="P71" s="2397" t="s">
        <v>2364</v>
      </c>
      <c r="Q71" s="2398">
        <f>L59</f>
        <v>0</v>
      </c>
      <c r="R71" s="2399" t="s">
        <v>2365</v>
      </c>
    </row>
    <row r="72" spans="1:18" ht="20.25" thickBot="1">
      <c r="A72" s="574" t="s">
        <v>48</v>
      </c>
      <c r="B72" s="575" t="s">
        <v>397</v>
      </c>
      <c r="C72" s="576">
        <f ca="1">ROUND(C69/F72,0)</f>
        <v>31352</v>
      </c>
      <c r="D72" s="577" t="s">
        <v>398</v>
      </c>
      <c r="E72" s="578" t="s">
        <v>399</v>
      </c>
      <c r="F72" s="579">
        <f>F43</f>
        <v>255.46</v>
      </c>
      <c r="O72" s="2400" t="s">
        <v>2383</v>
      </c>
      <c r="P72" s="2397" t="s">
        <v>2366</v>
      </c>
      <c r="Q72" s="2398">
        <f>L60</f>
        <v>0</v>
      </c>
      <c r="R72" s="2399" t="s">
        <v>2367</v>
      </c>
    </row>
    <row r="73" spans="1:18" ht="15.75" thickBot="1">
      <c r="A73" s="1267"/>
      <c r="B73" s="1271"/>
      <c r="C73" s="1271"/>
      <c r="D73" s="1267"/>
      <c r="E73" s="1267"/>
      <c r="F73" s="1267"/>
      <c r="O73" s="2396" t="s">
        <v>2359</v>
      </c>
      <c r="P73" s="2397" t="str">
        <f>IF(C2="元","收益价值(元)","收益价值(万元)")</f>
        <v>收益价值(万元)</v>
      </c>
      <c r="Q73" s="2398">
        <f ca="1">ROUND(IF(C2="元",Q63+Q64,(Q63+Q64)/10000),0)</f>
        <v>1125</v>
      </c>
      <c r="R73" s="2399" t="s">
        <v>2360</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4" type="noConversion"/>
  <conditionalFormatting sqref="K56">
    <cfRule type="expression" dxfId="139" priority="6">
      <formula>$L$49&gt;$J$52</formula>
    </cfRule>
  </conditionalFormatting>
  <conditionalFormatting sqref="I56">
    <cfRule type="expression" dxfId="138" priority="7">
      <formula>$J$52&gt;$L$49</formula>
    </cfRule>
  </conditionalFormatting>
  <conditionalFormatting sqref="I61">
    <cfRule type="expression" dxfId="137" priority="5">
      <formula>$J$52&gt;$L$49</formula>
    </cfRule>
  </conditionalFormatting>
  <conditionalFormatting sqref="K61">
    <cfRule type="expression" dxfId="136" priority="4">
      <formula>$L$49&gt;$J$52</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5">
    <cfRule type="expression" dxfId="133"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7" t="s">
        <v>2504</v>
      </c>
      <c r="B1" s="3378"/>
      <c r="C1" s="3379"/>
      <c r="D1" s="3380">
        <f>SUM(I10,I15,I20,I21,I23)</f>
        <v>0</v>
      </c>
      <c r="E1" s="3380"/>
      <c r="F1" s="3380"/>
      <c r="G1" s="3380"/>
      <c r="H1" s="3380"/>
      <c r="I1" s="3381"/>
    </row>
    <row r="2" spans="1:9">
      <c r="A2" s="3382" t="s">
        <v>2505</v>
      </c>
      <c r="B2" s="3383" t="s">
        <v>2454</v>
      </c>
      <c r="C2" s="3383"/>
      <c r="D2" s="2457" t="s">
        <v>2455</v>
      </c>
      <c r="E2" s="2457" t="s">
        <v>2456</v>
      </c>
      <c r="F2" s="2457" t="s">
        <v>2457</v>
      </c>
      <c r="G2" s="2457" t="s">
        <v>2458</v>
      </c>
      <c r="H2" s="2457" t="s">
        <v>2459</v>
      </c>
      <c r="I2" s="2458" t="s">
        <v>2460</v>
      </c>
    </row>
    <row r="3" spans="1:9">
      <c r="A3" s="3382"/>
      <c r="B3" s="3383" t="s">
        <v>2461</v>
      </c>
      <c r="C3" s="3383"/>
      <c r="D3" s="2459"/>
      <c r="E3" s="2457"/>
      <c r="F3" s="2460"/>
      <c r="G3" s="2460"/>
      <c r="H3" s="2461"/>
      <c r="I3" s="2462">
        <f>ROUND(D3*E3*F3*G3*H3/10000,0)</f>
        <v>0</v>
      </c>
    </row>
    <row r="4" spans="1:9">
      <c r="A4" s="3382"/>
      <c r="B4" s="3383" t="s">
        <v>2462</v>
      </c>
      <c r="C4" s="3383"/>
      <c r="D4" s="2459"/>
      <c r="E4" s="2457"/>
      <c r="F4" s="2460"/>
      <c r="G4" s="2460"/>
      <c r="H4" s="2461"/>
      <c r="I4" s="2462">
        <f t="shared" ref="I4:I9" si="0">ROUND(D4*E4*F4*G4*H4/10000,0)</f>
        <v>0</v>
      </c>
    </row>
    <row r="5" spans="1:9">
      <c r="A5" s="3382"/>
      <c r="B5" s="3383" t="s">
        <v>2463</v>
      </c>
      <c r="C5" s="3383"/>
      <c r="D5" s="2459"/>
      <c r="E5" s="2457"/>
      <c r="F5" s="2460"/>
      <c r="G5" s="2460"/>
      <c r="H5" s="2461"/>
      <c r="I5" s="2462">
        <f t="shared" si="0"/>
        <v>0</v>
      </c>
    </row>
    <row r="6" spans="1:9">
      <c r="A6" s="3382"/>
      <c r="B6" s="3383" t="s">
        <v>2464</v>
      </c>
      <c r="C6" s="3383"/>
      <c r="D6" s="2459"/>
      <c r="E6" s="2457"/>
      <c r="F6" s="2460"/>
      <c r="G6" s="2460"/>
      <c r="H6" s="2461"/>
      <c r="I6" s="2462">
        <f t="shared" si="0"/>
        <v>0</v>
      </c>
    </row>
    <row r="7" spans="1:9">
      <c r="A7" s="3382"/>
      <c r="B7" s="3383" t="s">
        <v>2465</v>
      </c>
      <c r="C7" s="3383"/>
      <c r="D7" s="2459"/>
      <c r="E7" s="2457"/>
      <c r="F7" s="2460"/>
      <c r="G7" s="2460"/>
      <c r="H7" s="2461"/>
      <c r="I7" s="2462">
        <f t="shared" si="0"/>
        <v>0</v>
      </c>
    </row>
    <row r="8" spans="1:9">
      <c r="A8" s="3382"/>
      <c r="B8" s="3383" t="s">
        <v>2466</v>
      </c>
      <c r="C8" s="3383"/>
      <c r="D8" s="2459"/>
      <c r="E8" s="2457"/>
      <c r="F8" s="2460"/>
      <c r="G8" s="2460"/>
      <c r="H8" s="2461"/>
      <c r="I8" s="2462">
        <f t="shared" si="0"/>
        <v>0</v>
      </c>
    </row>
    <row r="9" spans="1:9">
      <c r="A9" s="3382"/>
      <c r="B9" s="3383" t="s">
        <v>2467</v>
      </c>
      <c r="C9" s="3383"/>
      <c r="D9" s="2459"/>
      <c r="E9" s="2457"/>
      <c r="F9" s="2460"/>
      <c r="G9" s="2460"/>
      <c r="H9" s="2461"/>
      <c r="I9" s="2462">
        <f t="shared" si="0"/>
        <v>0</v>
      </c>
    </row>
    <row r="10" spans="1:9">
      <c r="A10" s="3382"/>
      <c r="B10" s="3384" t="s">
        <v>2468</v>
      </c>
      <c r="C10" s="3384"/>
      <c r="D10" s="2463">
        <v>527</v>
      </c>
      <c r="E10" s="2463" t="e">
        <f>ROUND(D1*10000/D10/H9,0)</f>
        <v>#DIV/0!</v>
      </c>
      <c r="F10" s="2464"/>
      <c r="G10" s="2464"/>
      <c r="H10" s="2465"/>
      <c r="I10" s="2466">
        <f>SUM(I3:I9)</f>
        <v>0</v>
      </c>
    </row>
    <row r="11" spans="1:9" ht="14.25">
      <c r="A11" s="3382" t="s">
        <v>2506</v>
      </c>
      <c r="B11" s="3383" t="s">
        <v>2469</v>
      </c>
      <c r="C11" s="3383"/>
      <c r="D11" s="2459" t="s">
        <v>2470</v>
      </c>
      <c r="E11" s="2459" t="s">
        <v>2471</v>
      </c>
      <c r="F11" s="2460" t="s">
        <v>2472</v>
      </c>
      <c r="G11" s="2460" t="s">
        <v>2459</v>
      </c>
      <c r="H11" s="2467" t="s">
        <v>2473</v>
      </c>
      <c r="I11" s="2458" t="s">
        <v>2460</v>
      </c>
    </row>
    <row r="12" spans="1:9">
      <c r="A12" s="3382"/>
      <c r="B12" s="3383" t="s">
        <v>2474</v>
      </c>
      <c r="C12" s="3383"/>
      <c r="D12" s="2459"/>
      <c r="E12" s="2459"/>
      <c r="F12" s="2460"/>
      <c r="G12" s="2461"/>
      <c r="H12" s="2468"/>
      <c r="I12" s="2458">
        <f>ROUND(D12*E12*F12*G12/10000,0)</f>
        <v>0</v>
      </c>
    </row>
    <row r="13" spans="1:9">
      <c r="A13" s="3382"/>
      <c r="B13" s="3383" t="s">
        <v>2475</v>
      </c>
      <c r="C13" s="3383"/>
      <c r="D13" s="2459"/>
      <c r="E13" s="2459"/>
      <c r="F13" s="2460"/>
      <c r="G13" s="2461"/>
      <c r="H13" s="2468"/>
      <c r="I13" s="2458">
        <f>ROUND(D13*E13*F13*G13/10000,0)</f>
        <v>0</v>
      </c>
    </row>
    <row r="14" spans="1:9">
      <c r="A14" s="3382"/>
      <c r="B14" s="3383" t="s">
        <v>2476</v>
      </c>
      <c r="C14" s="3383"/>
      <c r="D14" s="2459"/>
      <c r="E14" s="2459"/>
      <c r="F14" s="2460"/>
      <c r="G14" s="2461"/>
      <c r="H14" s="2468"/>
      <c r="I14" s="2458">
        <f>ROUND(D14*E14*F14*G14/10000,0)</f>
        <v>0</v>
      </c>
    </row>
    <row r="15" spans="1:9">
      <c r="A15" s="3382"/>
      <c r="B15" s="3384" t="s">
        <v>2468</v>
      </c>
      <c r="C15" s="3384"/>
      <c r="D15" s="2463"/>
      <c r="E15" s="2463">
        <f>SUM(E12:E14)</f>
        <v>0</v>
      </c>
      <c r="F15" s="2464"/>
      <c r="G15" s="2461"/>
      <c r="H15" s="2468"/>
      <c r="I15" s="2469">
        <f>SUM(I12:I14)</f>
        <v>0</v>
      </c>
    </row>
    <row r="16" spans="1:9" ht="24">
      <c r="A16" s="3382" t="s">
        <v>2507</v>
      </c>
      <c r="B16" s="3383" t="s">
        <v>2477</v>
      </c>
      <c r="C16" s="3383"/>
      <c r="D16" s="2459" t="s">
        <v>2455</v>
      </c>
      <c r="E16" s="2470" t="s">
        <v>2478</v>
      </c>
      <c r="F16" s="2460" t="s">
        <v>2479</v>
      </c>
      <c r="G16" s="2461" t="s">
        <v>2459</v>
      </c>
      <c r="H16" s="2467" t="s">
        <v>2473</v>
      </c>
      <c r="I16" s="2458" t="s">
        <v>2460</v>
      </c>
    </row>
    <row r="17" spans="1:9" ht="14.25">
      <c r="A17" s="3382"/>
      <c r="B17" s="3383" t="s">
        <v>2480</v>
      </c>
      <c r="C17" s="3383"/>
      <c r="D17" s="2459"/>
      <c r="E17" s="2459"/>
      <c r="F17" s="2460"/>
      <c r="G17" s="2461"/>
      <c r="H17" s="2471"/>
      <c r="I17" s="2472">
        <f>ROUND(D17*E17*F17*G17/10000,0)</f>
        <v>0</v>
      </c>
    </row>
    <row r="18" spans="1:9" ht="14.25">
      <c r="A18" s="3382"/>
      <c r="B18" s="3383" t="s">
        <v>2481</v>
      </c>
      <c r="C18" s="3383"/>
      <c r="D18" s="2459"/>
      <c r="E18" s="2459"/>
      <c r="F18" s="2460"/>
      <c r="G18" s="2461"/>
      <c r="H18" s="2471"/>
      <c r="I18" s="2472">
        <f>ROUND(D18*E18*F18*G18/10000,0)</f>
        <v>0</v>
      </c>
    </row>
    <row r="19" spans="1:9" ht="14.25">
      <c r="A19" s="3382"/>
      <c r="B19" s="3383" t="s">
        <v>2482</v>
      </c>
      <c r="C19" s="3383"/>
      <c r="D19" s="2459"/>
      <c r="E19" s="2459"/>
      <c r="F19" s="2460"/>
      <c r="G19" s="2461"/>
      <c r="H19" s="2471"/>
      <c r="I19" s="2472">
        <f>ROUND(D19*E19*F19*G19/10000,0)</f>
        <v>0</v>
      </c>
    </row>
    <row r="20" spans="1:9">
      <c r="A20" s="3382"/>
      <c r="B20" s="3384" t="s">
        <v>2468</v>
      </c>
      <c r="C20" s="3384"/>
      <c r="D20" s="2463">
        <f>SUM(D17:D19)</f>
        <v>0</v>
      </c>
      <c r="E20" s="2463"/>
      <c r="F20" s="2464"/>
      <c r="G20" s="2461"/>
      <c r="H20" s="2468"/>
      <c r="I20" s="2469">
        <f>SUM(I17:I19)</f>
        <v>0</v>
      </c>
    </row>
    <row r="21" spans="1:9">
      <c r="A21" s="3382" t="s">
        <v>2508</v>
      </c>
      <c r="B21" s="3386"/>
      <c r="C21" s="3386"/>
      <c r="D21" s="3386"/>
      <c r="E21" s="3386"/>
      <c r="F21" s="3386"/>
      <c r="G21" s="3386"/>
      <c r="H21" s="2473">
        <v>0.1</v>
      </c>
      <c r="I21" s="2466">
        <f>ROUND(I10*H21,0)</f>
        <v>0</v>
      </c>
    </row>
    <row r="22" spans="1:9" ht="14.25">
      <c r="A22" s="3387" t="s">
        <v>2509</v>
      </c>
      <c r="B22" s="3388"/>
      <c r="C22" s="3389"/>
      <c r="D22" s="2474" t="s">
        <v>2483</v>
      </c>
      <c r="E22" s="2474" t="s">
        <v>2484</v>
      </c>
      <c r="F22" s="2475" t="s">
        <v>2459</v>
      </c>
      <c r="G22" s="2475" t="s">
        <v>2485</v>
      </c>
      <c r="H22" s="2467" t="s">
        <v>2473</v>
      </c>
      <c r="I22" s="2458" t="s">
        <v>2460</v>
      </c>
    </row>
    <row r="23" spans="1:9" ht="14.25" thickBot="1">
      <c r="A23" s="3390"/>
      <c r="B23" s="3391"/>
      <c r="C23" s="3392"/>
      <c r="D23" s="2476"/>
      <c r="E23" s="2476"/>
      <c r="F23" s="2476"/>
      <c r="G23" s="2477"/>
      <c r="H23" s="2478"/>
      <c r="I23" s="2479">
        <f>ROUND(E23*D23*F23*(1-G23)/10000,0)</f>
        <v>0</v>
      </c>
    </row>
    <row r="26" spans="1:9">
      <c r="A26" s="2480" t="s">
        <v>2486</v>
      </c>
      <c r="B26" s="2480"/>
      <c r="C26" s="2480"/>
      <c r="D26" s="2480"/>
      <c r="E26" s="3393">
        <f>C27-C30-C31-C32</f>
        <v>0</v>
      </c>
      <c r="F26" s="3393"/>
      <c r="G26" s="3393"/>
      <c r="H26" s="3014" t="s">
        <v>2811</v>
      </c>
    </row>
    <row r="27" spans="1:9">
      <c r="A27" s="2481">
        <v>1</v>
      </c>
      <c r="B27" s="2482" t="s">
        <v>2487</v>
      </c>
      <c r="C27" s="2482">
        <f>C28+C29</f>
        <v>0</v>
      </c>
      <c r="D27" s="2482"/>
      <c r="E27" s="3394"/>
      <c r="F27" s="3394"/>
      <c r="G27" s="3394"/>
    </row>
    <row r="28" spans="1:9">
      <c r="A28" s="2483" t="s">
        <v>2488</v>
      </c>
      <c r="B28" s="2482" t="s">
        <v>2489</v>
      </c>
      <c r="C28" s="2482"/>
      <c r="D28" s="2482"/>
      <c r="E28" s="3394"/>
      <c r="F28" s="3394"/>
      <c r="G28" s="3394"/>
    </row>
    <row r="29" spans="1:9">
      <c r="A29" s="2483" t="s">
        <v>2490</v>
      </c>
      <c r="B29" s="2482" t="s">
        <v>2491</v>
      </c>
      <c r="C29" s="2482"/>
      <c r="D29" s="2482"/>
      <c r="E29" s="2482" t="s">
        <v>2492</v>
      </c>
      <c r="F29" s="2482"/>
      <c r="G29" s="2482"/>
    </row>
    <row r="30" spans="1:9">
      <c r="A30" s="2481">
        <v>2</v>
      </c>
      <c r="B30" s="2482" t="s">
        <v>2493</v>
      </c>
      <c r="C30" s="2482">
        <f>C27*D30</f>
        <v>0</v>
      </c>
      <c r="D30" s="2484">
        <v>0.2</v>
      </c>
      <c r="E30" s="2482" t="s">
        <v>2494</v>
      </c>
      <c r="F30" s="2482"/>
      <c r="G30" s="2482"/>
    </row>
    <row r="31" spans="1:9">
      <c r="A31" s="2481">
        <v>3</v>
      </c>
      <c r="B31" s="2482" t="s">
        <v>2495</v>
      </c>
      <c r="C31" s="2482">
        <f>C25*D31</f>
        <v>0</v>
      </c>
      <c r="D31" s="2484">
        <v>0.15</v>
      </c>
      <c r="E31" s="2482" t="s">
        <v>2496</v>
      </c>
      <c r="F31" s="2482"/>
      <c r="G31" s="2482"/>
    </row>
    <row r="32" spans="1:9">
      <c r="A32" s="2481">
        <v>4</v>
      </c>
      <c r="B32" s="2482" t="s">
        <v>2497</v>
      </c>
      <c r="C32" s="2482">
        <f>C27*D32</f>
        <v>0</v>
      </c>
      <c r="D32" s="2484">
        <v>0.05</v>
      </c>
      <c r="E32" s="3385"/>
      <c r="F32" s="3385"/>
      <c r="G32" s="3385"/>
    </row>
    <row r="33" spans="1:7" hidden="1">
      <c r="A33" s="3395" t="s">
        <v>2498</v>
      </c>
      <c r="B33" s="3396"/>
      <c r="C33" s="3396"/>
      <c r="D33" s="3397"/>
      <c r="E33" s="3393"/>
      <c r="F33" s="3393"/>
      <c r="G33" s="3393"/>
    </row>
    <row r="34" spans="1:7" hidden="1">
      <c r="A34" s="2485">
        <v>1</v>
      </c>
      <c r="B34" s="2482" t="s">
        <v>2499</v>
      </c>
      <c r="C34" s="2482"/>
      <c r="D34" s="2482"/>
      <c r="E34" s="3394"/>
      <c r="F34" s="3394"/>
      <c r="G34" s="3394"/>
    </row>
    <row r="35" spans="1:7" hidden="1">
      <c r="A35" s="2485">
        <v>2</v>
      </c>
      <c r="B35" s="2482" t="s">
        <v>2500</v>
      </c>
      <c r="C35" s="2482"/>
      <c r="D35" s="2482"/>
      <c r="E35" s="3394"/>
      <c r="F35" s="3394"/>
      <c r="G35" s="3394"/>
    </row>
    <row r="36" spans="1:7" hidden="1">
      <c r="A36" s="2485">
        <v>3</v>
      </c>
      <c r="B36" s="2482" t="s">
        <v>2501</v>
      </c>
      <c r="C36" s="2482"/>
      <c r="D36" s="2482"/>
      <c r="E36" s="3394"/>
      <c r="F36" s="3394"/>
      <c r="G36" s="3394"/>
    </row>
    <row r="37" spans="1:7" hidden="1">
      <c r="A37" s="2485">
        <v>4</v>
      </c>
      <c r="B37" s="2482" t="s">
        <v>2502</v>
      </c>
      <c r="C37" s="2482"/>
      <c r="D37" s="2482"/>
      <c r="E37" s="3394"/>
      <c r="F37" s="3394"/>
      <c r="G37" s="3394"/>
    </row>
    <row r="38" spans="1:7" hidden="1">
      <c r="A38" s="3395" t="s">
        <v>2503</v>
      </c>
      <c r="B38" s="3396"/>
      <c r="C38" s="3396"/>
      <c r="D38" s="3397"/>
      <c r="E38" s="3393"/>
      <c r="F38" s="3393"/>
      <c r="G38" s="339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zoomScaleSheetLayoutView="100" workbookViewId="0">
      <selection activeCell="J57" sqref="J5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820</v>
      </c>
      <c r="B1" s="523"/>
      <c r="C1" s="1087"/>
      <c r="D1" s="2321" t="s">
        <v>217</v>
      </c>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359</v>
      </c>
      <c r="B2" s="1199">
        <f ca="1">IF(C2="元",IF('数据-取费表'!B28="租赁期内按合同租金",C40+L47+J29,C40+L47),ROUND(IF('数据-取费表'!B28="租赁期内按合同租金",(C40+L47+J29)/10000,(C40+L47)/10000),0))</f>
        <v>1125</v>
      </c>
      <c r="C2" s="1089" t="str">
        <f>'数据-取费表'!B3</f>
        <v>万元</v>
      </c>
      <c r="D2" s="2130"/>
      <c r="E2" s="2131"/>
      <c r="F2" s="2131"/>
      <c r="G2" s="2156"/>
      <c r="H2" s="1086"/>
      <c r="I2" s="2132"/>
      <c r="J2" s="2132"/>
      <c r="K2" s="2133"/>
      <c r="L2" s="2132"/>
      <c r="M2" s="2132"/>
    </row>
    <row r="3" spans="1:37" ht="18" customHeight="1" thickBot="1">
      <c r="A3" s="528" t="s">
        <v>734</v>
      </c>
      <c r="B3" s="1200">
        <f ca="1">ROUND(IF('数据-取费表'!B28="租赁期内按合同租金",(C40+L47+J29)/F43,(C40+L47)/F43),0)</f>
        <v>44038</v>
      </c>
      <c r="C3" s="1089" t="s">
        <v>1019</v>
      </c>
      <c r="D3" s="2130"/>
      <c r="E3" s="2131"/>
      <c r="F3" s="2131"/>
      <c r="G3" s="2156"/>
      <c r="H3" s="529" t="s">
        <v>821</v>
      </c>
      <c r="I3" s="2132"/>
      <c r="J3" s="2132"/>
      <c r="K3" s="2133"/>
      <c r="L3" s="2132"/>
      <c r="M3" s="2132"/>
    </row>
    <row r="4" spans="1:37" ht="18" customHeight="1">
      <c r="A4" s="530" t="s">
        <v>822</v>
      </c>
      <c r="B4" s="531" t="s">
        <v>823</v>
      </c>
      <c r="C4" s="531" t="s">
        <v>824</v>
      </c>
      <c r="D4" s="531" t="s">
        <v>825</v>
      </c>
      <c r="E4" s="532" t="s">
        <v>826</v>
      </c>
      <c r="F4" s="533"/>
      <c r="G4" s="2154"/>
      <c r="H4" s="530" t="s">
        <v>822</v>
      </c>
      <c r="I4" s="531" t="s">
        <v>823</v>
      </c>
      <c r="J4" s="531" t="s">
        <v>824</v>
      </c>
      <c r="K4" s="531" t="s">
        <v>825</v>
      </c>
      <c r="L4" s="532" t="s">
        <v>826</v>
      </c>
      <c r="M4" s="533"/>
    </row>
    <row r="5" spans="1:37" ht="18" customHeight="1">
      <c r="A5" s="534">
        <v>1</v>
      </c>
      <c r="B5" s="535" t="s">
        <v>827</v>
      </c>
      <c r="C5" s="536">
        <f ca="1">C6+C10+C12</f>
        <v>504211</v>
      </c>
      <c r="D5" s="2453" t="s">
        <v>2453</v>
      </c>
      <c r="E5" s="2130"/>
      <c r="F5" s="2444"/>
      <c r="G5" s="2154"/>
      <c r="H5" s="534">
        <v>1</v>
      </c>
      <c r="I5" s="535" t="s">
        <v>827</v>
      </c>
      <c r="J5" s="536">
        <f ca="1">J6+J10+J12</f>
        <v>0</v>
      </c>
      <c r="K5" s="2453" t="s">
        <v>2453</v>
      </c>
      <c r="L5" s="2130"/>
      <c r="M5" s="2444"/>
    </row>
    <row r="6" spans="1:37" ht="18" customHeight="1">
      <c r="A6" s="2445" t="s">
        <v>2232</v>
      </c>
      <c r="B6" s="1813" t="s">
        <v>2511</v>
      </c>
      <c r="C6" s="536">
        <f>ROUND(F6*F8*F7*(1-F9),0)</f>
        <v>503512</v>
      </c>
      <c r="D6" s="2451" t="s">
        <v>2451</v>
      </c>
      <c r="E6" s="537" t="s">
        <v>829</v>
      </c>
      <c r="F6" s="538">
        <f>'数据-取费表'!B29</f>
        <v>6</v>
      </c>
      <c r="G6" s="2154"/>
      <c r="H6" s="2445" t="s">
        <v>2232</v>
      </c>
      <c r="I6" s="1813" t="s">
        <v>2511</v>
      </c>
      <c r="J6" s="536">
        <f>ROUND(M6*M8*M7*(1-M9),0)</f>
        <v>0</v>
      </c>
      <c r="K6" s="297" t="s">
        <v>828</v>
      </c>
      <c r="L6" s="537" t="s">
        <v>829</v>
      </c>
      <c r="M6" s="538">
        <f>'数据-取费表'!B36</f>
        <v>0</v>
      </c>
    </row>
    <row r="7" spans="1:37" ht="18" customHeight="1">
      <c r="A7" s="2517"/>
      <c r="B7" s="2443"/>
      <c r="C7" s="541"/>
      <c r="D7" s="2442"/>
      <c r="E7" s="537" t="s">
        <v>830</v>
      </c>
      <c r="F7" s="538">
        <f>IF('数据-取费表'!B41="",IF(D1="仅计算典型户型",'数据-取费表'!E5,'数据-取费表'!B5),'数据-取费表'!B41)</f>
        <v>255.46</v>
      </c>
      <c r="G7" s="2154"/>
      <c r="H7" s="539"/>
      <c r="I7" s="2443"/>
      <c r="J7" s="541"/>
      <c r="K7" s="542"/>
      <c r="L7" s="537" t="s">
        <v>830</v>
      </c>
      <c r="M7" s="538">
        <f>IF('数据-取费表'!B41="",IF(D1="仅计算典型户型",'数据-取费表'!E5,'数据-取费表'!B5),'数据-取费表'!B41)</f>
        <v>255.46</v>
      </c>
    </row>
    <row r="8" spans="1:37" ht="18" customHeight="1">
      <c r="A8" s="2517"/>
      <c r="B8" s="2443"/>
      <c r="C8" s="541"/>
      <c r="D8" s="2442"/>
      <c r="E8" s="1665" t="s">
        <v>2293</v>
      </c>
      <c r="F8" s="538">
        <f>'数据-取费表'!B42</f>
        <v>365</v>
      </c>
      <c r="G8" s="2154"/>
      <c r="H8" s="539"/>
      <c r="I8" s="2443"/>
      <c r="J8" s="541"/>
      <c r="K8" s="542"/>
      <c r="L8" s="537" t="s">
        <v>831</v>
      </c>
      <c r="M8" s="538">
        <f>'数据-取费表'!B42</f>
        <v>365</v>
      </c>
    </row>
    <row r="9" spans="1:37" ht="18" customHeight="1">
      <c r="A9" s="2517"/>
      <c r="B9" s="2443"/>
      <c r="C9" s="541"/>
      <c r="D9" s="2452"/>
      <c r="E9" s="537" t="s">
        <v>832</v>
      </c>
      <c r="F9" s="547">
        <f>'数据-取费表'!B32</f>
        <v>0.1</v>
      </c>
      <c r="G9" s="2154"/>
      <c r="H9" s="539"/>
      <c r="I9" s="2443"/>
      <c r="J9" s="2450"/>
      <c r="K9" s="312"/>
      <c r="L9" s="548" t="s">
        <v>832</v>
      </c>
      <c r="M9" s="547">
        <f>'数据-取费表'!B38</f>
        <v>0</v>
      </c>
    </row>
    <row r="10" spans="1:37" ht="18" customHeight="1">
      <c r="A10" s="2445" t="s">
        <v>2239</v>
      </c>
      <c r="B10" s="2448" t="s">
        <v>2446</v>
      </c>
      <c r="C10" s="2447">
        <f ca="1">ROUND(IF(F10="押一",F6*F7*F8/12*F11,IF(F10="押二",F6*F7*F8/12*2*F11,IF(F10="押三",F6*F7*F8/12*3*F11,C11*F11))),0)</f>
        <v>699</v>
      </c>
      <c r="D10" s="2446" t="s">
        <v>2449</v>
      </c>
      <c r="E10" s="2441" t="s">
        <v>2450</v>
      </c>
      <c r="F10" s="2449" t="s">
        <v>2898</v>
      </c>
      <c r="G10" s="2154"/>
      <c r="H10" s="2445" t="s">
        <v>2239</v>
      </c>
      <c r="I10" s="2448" t="s">
        <v>2446</v>
      </c>
      <c r="J10" s="2447">
        <f ca="1">ROUND(IF(M10="押一",M6*M8*M7/12*M11,IF(M10="押二",M6*M8*M7/12*2*M11,IF(M10="押三",M6*M8*M7/12*3*M11,J11*M11))),0)</f>
        <v>0</v>
      </c>
      <c r="K10" s="2451" t="s">
        <v>2449</v>
      </c>
      <c r="L10" s="2441" t="s">
        <v>2450</v>
      </c>
      <c r="M10" s="2449"/>
    </row>
    <row r="11" spans="1:37" s="559" customFormat="1" ht="18" customHeight="1">
      <c r="A11" s="566"/>
      <c r="B11" s="2454" t="s">
        <v>2510</v>
      </c>
      <c r="C11" s="2486"/>
      <c r="D11" s="2442"/>
      <c r="E11" s="2441" t="s">
        <v>2447</v>
      </c>
      <c r="F11" s="549">
        <f ca="1">'数据-取费表'!B30</f>
        <v>1.4999999999999999E-2</v>
      </c>
      <c r="G11" s="2155"/>
      <c r="H11" s="543"/>
      <c r="I11" s="2454" t="s">
        <v>2575</v>
      </c>
      <c r="J11" s="2486"/>
      <c r="K11" s="2442"/>
      <c r="L11" s="2441" t="s">
        <v>2447</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2514</v>
      </c>
      <c r="B12" s="2493" t="s">
        <v>2452</v>
      </c>
      <c r="C12" s="2494"/>
      <c r="D12" s="2495"/>
      <c r="E12" s="1829"/>
      <c r="F12" s="2496"/>
      <c r="G12" s="2154"/>
      <c r="H12" s="2492" t="s">
        <v>2514</v>
      </c>
      <c r="I12" s="2493" t="s">
        <v>2452</v>
      </c>
      <c r="J12" s="2494"/>
      <c r="K12" s="2511"/>
      <c r="L12" s="1829"/>
      <c r="M12" s="2512"/>
    </row>
    <row r="13" spans="1:37" s="559" customFormat="1" ht="18" customHeight="1" thickTop="1">
      <c r="A13" s="2488">
        <v>2</v>
      </c>
      <c r="B13" s="2489" t="s">
        <v>833</v>
      </c>
      <c r="C13" s="545">
        <f ca="1">ROUND(C29*F13,0)</f>
        <v>971971</v>
      </c>
      <c r="D13" s="2490" t="s">
        <v>834</v>
      </c>
      <c r="E13" s="2490" t="s">
        <v>835</v>
      </c>
      <c r="F13" s="2491">
        <f>'数据-取费表'!E20</f>
        <v>0.8</v>
      </c>
      <c r="G13" s="2155"/>
      <c r="H13" s="2488">
        <v>2</v>
      </c>
      <c r="I13" s="2489" t="s">
        <v>833</v>
      </c>
      <c r="J13" s="2450">
        <f ca="1">ROUND(J14*J15,0)</f>
        <v>0</v>
      </c>
      <c r="K13" s="2497" t="s">
        <v>834</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2240</v>
      </c>
      <c r="B14" s="537" t="s">
        <v>373</v>
      </c>
      <c r="C14" s="556">
        <f>IF(D1="仅计算典型户型",'数据-取费表'!F18,'数据-取费表'!E18)</f>
        <v>766380</v>
      </c>
      <c r="D14" s="3121" t="s">
        <v>836</v>
      </c>
      <c r="E14" s="3120"/>
      <c r="F14" s="1633"/>
      <c r="G14" s="2155"/>
      <c r="H14" s="555" t="s">
        <v>2232</v>
      </c>
      <c r="I14" s="537" t="s">
        <v>837</v>
      </c>
      <c r="J14" s="197">
        <f ca="1">C29</f>
        <v>1214964</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2241</v>
      </c>
      <c r="B15" s="537" t="s">
        <v>374</v>
      </c>
      <c r="C15" s="197">
        <f>ROUND(C14*F15,0)</f>
        <v>22991</v>
      </c>
      <c r="D15" s="557" t="s">
        <v>838</v>
      </c>
      <c r="E15" s="557" t="s">
        <v>379</v>
      </c>
      <c r="F15" s="558">
        <f>'数据-取费表'!E21</f>
        <v>0.03</v>
      </c>
      <c r="G15" s="2154"/>
      <c r="H15" s="2500" t="s">
        <v>2239</v>
      </c>
      <c r="I15" s="2501" t="s">
        <v>835</v>
      </c>
      <c r="J15" s="2513">
        <f>'数据-取费表'!B39</f>
        <v>0</v>
      </c>
      <c r="K15" s="2514"/>
      <c r="L15" s="2515"/>
      <c r="M15" s="2516"/>
    </row>
    <row r="16" spans="1:37" s="559" customFormat="1" ht="18" customHeight="1" thickTop="1">
      <c r="A16" s="555" t="s">
        <v>2242</v>
      </c>
      <c r="B16" s="537" t="s">
        <v>375</v>
      </c>
      <c r="C16" s="197">
        <f>ROUND(C14*F16,0)</f>
        <v>38319</v>
      </c>
      <c r="D16" s="537" t="s">
        <v>838</v>
      </c>
      <c r="E16" s="537" t="s">
        <v>379</v>
      </c>
      <c r="F16" s="560">
        <f>IF('数据-取费表'!B10="住宅",'数据-取费表'!E22,0)</f>
        <v>0.05</v>
      </c>
      <c r="G16" s="2155"/>
      <c r="H16" s="2488" t="s">
        <v>38</v>
      </c>
      <c r="I16" s="2489" t="s">
        <v>840</v>
      </c>
      <c r="J16" s="545">
        <f ca="1">ROUND(J17+J22+J23+J24,0)</f>
        <v>18224</v>
      </c>
      <c r="K16" s="2497" t="s">
        <v>841</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2243</v>
      </c>
      <c r="B17" s="537" t="s">
        <v>376</v>
      </c>
      <c r="C17" s="197">
        <f>ROUND(F17*IF(D1="仅计算典型户型",'数据-取费表'!E5,'数据-取费表'!B5),0)</f>
        <v>40874</v>
      </c>
      <c r="D17" s="537" t="s">
        <v>842</v>
      </c>
      <c r="E17" s="537" t="s">
        <v>843</v>
      </c>
      <c r="F17" s="199">
        <f>'数据-取费表'!E23</f>
        <v>160</v>
      </c>
      <c r="G17" s="2155"/>
      <c r="H17" s="555" t="s">
        <v>2232</v>
      </c>
      <c r="I17" s="537" t="s">
        <v>377</v>
      </c>
      <c r="J17" s="197">
        <f ca="1">ROUND(IF(项目基本情况!B7="自然人",J5*M17,J18+J19+J20),0)</f>
        <v>0</v>
      </c>
      <c r="K17" s="3121" t="s">
        <v>844</v>
      </c>
      <c r="L17" s="3122" t="s">
        <v>845</v>
      </c>
      <c r="M17" s="561">
        <f>IF(项目基本情况!B7="企业","",IF('数据-取费表'!B10="住宅",5%,IF(M6*M7*M8/12/(1+'数据-取费表'!F30)&gt;20000,12%,7%)))</f>
        <v>0.05</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2244</v>
      </c>
      <c r="B18" s="537" t="s">
        <v>378</v>
      </c>
      <c r="C18" s="197">
        <f>ROUND(C14*F18,0)</f>
        <v>11496</v>
      </c>
      <c r="D18" s="537" t="s">
        <v>838</v>
      </c>
      <c r="E18" s="537" t="s">
        <v>379</v>
      </c>
      <c r="F18" s="560">
        <f>'数据-取费表'!E24</f>
        <v>1.4999999999999999E-2</v>
      </c>
      <c r="G18" s="2154"/>
      <c r="H18" s="555" t="s">
        <v>2240</v>
      </c>
      <c r="I18" s="537" t="s">
        <v>846</v>
      </c>
      <c r="J18" s="197" t="str">
        <f>IF(项目基本情况!B7="自然人","——",ROUND(J5*M18/(1+'数据-取费表'!F30),0))</f>
        <v>——</v>
      </c>
      <c r="K18" s="3122" t="s">
        <v>847</v>
      </c>
      <c r="L18" s="537" t="s">
        <v>379</v>
      </c>
      <c r="M18" s="560">
        <f>'数据-取费表'!E29</f>
        <v>5.6000000000000001E-2</v>
      </c>
    </row>
    <row r="19" spans="1:37" s="559" customFormat="1" ht="18" customHeight="1">
      <c r="A19" s="555" t="s">
        <v>2232</v>
      </c>
      <c r="B19" s="537" t="s">
        <v>380</v>
      </c>
      <c r="C19" s="197">
        <f>SUM(C14:C18)</f>
        <v>880060</v>
      </c>
      <c r="D19" s="272" t="s">
        <v>848</v>
      </c>
      <c r="E19" s="3123"/>
      <c r="F19" s="199"/>
      <c r="G19" s="2155"/>
      <c r="H19" s="555" t="s">
        <v>2241</v>
      </c>
      <c r="I19" s="537" t="s">
        <v>849</v>
      </c>
      <c r="J19" s="197" t="str">
        <f>IF(项目基本情况!B7="自然人","——",IF(K19="按租金收入计税",ROUND(J5*M19,1),ROUND(C29*M19*0.7,1)))</f>
        <v>——</v>
      </c>
      <c r="K19" s="1090" t="s">
        <v>2224</v>
      </c>
      <c r="L19" s="537" t="s">
        <v>379</v>
      </c>
      <c r="M19" s="560">
        <f>IF(K19="按租金收入计税",'数据-取费表'!E39,'数据-取费表'!E38)</f>
        <v>1.2E-2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2443</v>
      </c>
      <c r="B20" s="537" t="s">
        <v>381</v>
      </c>
      <c r="C20" s="197">
        <f>ROUND(C19*F20,0)</f>
        <v>17601</v>
      </c>
      <c r="D20" s="562" t="s">
        <v>850</v>
      </c>
      <c r="E20" s="537" t="s">
        <v>379</v>
      </c>
      <c r="F20" s="560">
        <f>'数据-取费表'!E25</f>
        <v>0.02</v>
      </c>
      <c r="G20" s="2155"/>
      <c r="H20" s="555" t="s">
        <v>2242</v>
      </c>
      <c r="I20" s="297" t="s">
        <v>851</v>
      </c>
      <c r="J20" s="198" t="str">
        <f>IF(项目基本情况!B7="自然人","——",ROUND(M20*M21,0))</f>
        <v>——</v>
      </c>
      <c r="K20" s="564" t="s">
        <v>852</v>
      </c>
      <c r="L20" s="537" t="s">
        <v>853</v>
      </c>
      <c r="M20" s="565">
        <f>'数据-取费表'!E40</f>
        <v>24</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2233</v>
      </c>
      <c r="B21" s="537" t="s">
        <v>854</v>
      </c>
      <c r="C21" s="991">
        <f>F21</f>
        <v>0.02</v>
      </c>
      <c r="D21" s="562" t="s">
        <v>855</v>
      </c>
      <c r="E21" s="537" t="s">
        <v>856</v>
      </c>
      <c r="F21" s="560">
        <f>'数据-取费表'!E26</f>
        <v>0.02</v>
      </c>
      <c r="G21" s="2154"/>
      <c r="H21" s="566"/>
      <c r="I21" s="546"/>
      <c r="J21" s="202"/>
      <c r="K21" s="567"/>
      <c r="L21" s="537" t="s">
        <v>857</v>
      </c>
      <c r="M21" s="538">
        <f>IF(D1="仅计算典型户型",'数据-取费表'!E6,'数据-取费表'!B6)</f>
        <v>0</v>
      </c>
    </row>
    <row r="22" spans="1:37" ht="18" customHeight="1">
      <c r="A22" s="555" t="s">
        <v>2234</v>
      </c>
      <c r="B22" s="537" t="s">
        <v>858</v>
      </c>
      <c r="C22" s="197"/>
      <c r="D22" s="2528" t="str">
        <f>IF(F23&lt;=1,"单利计息。","复利计息。")&amp;"建造成本、管理费用、销售费用产生的利息。"</f>
        <v>复利计息。建造成本、管理费用、销售费用产生的利息。</v>
      </c>
      <c r="E22" s="3123"/>
      <c r="F22" s="199"/>
      <c r="G22" s="2154"/>
      <c r="H22" s="555" t="s">
        <v>2239</v>
      </c>
      <c r="I22" s="537" t="s">
        <v>859</v>
      </c>
      <c r="J22" s="197">
        <f ca="1">ROUND(J14*M22,0)</f>
        <v>18224</v>
      </c>
      <c r="K22" s="3122" t="s">
        <v>860</v>
      </c>
      <c r="L22" s="537" t="s">
        <v>379</v>
      </c>
      <c r="M22" s="568">
        <f>'数据-取费表'!B44</f>
        <v>1.4999999999999999E-2</v>
      </c>
    </row>
    <row r="23" spans="1:37" ht="18" customHeight="1">
      <c r="A23" s="555" t="s">
        <v>2240</v>
      </c>
      <c r="B23" s="537" t="s">
        <v>2444</v>
      </c>
      <c r="C23" s="197">
        <f ca="1">IF('数据-取费表'!B23&lt;=1,ROUND(C19*F24*F23/2,0)+ROUND(C20*F24*F23/2,0),ROUND(C19*(POWER((1+F24),F23/2)-1),0)+ROUND(C20*(POWER((1+F24),F23/2)-1),0))</f>
        <v>42639</v>
      </c>
      <c r="D23" s="1658" t="str">
        <f>IF(F23&lt;=1,"(建造成本+管理费用)×利率×(建设周期÷2)","(建造成本+管理费用)×((1+利率)^(建设周期÷2)-1)")</f>
        <v>(建造成本+管理费用)×((1+利率)^(建设周期÷2)-1)</v>
      </c>
      <c r="E23" s="537" t="s">
        <v>861</v>
      </c>
      <c r="F23" s="565">
        <f>'数据-取费表'!B21</f>
        <v>2</v>
      </c>
      <c r="G23" s="2154"/>
      <c r="H23" s="555" t="s">
        <v>2233</v>
      </c>
      <c r="I23" s="537" t="s">
        <v>382</v>
      </c>
      <c r="J23" s="197">
        <f ca="1">ROUND(J13*M23,0)</f>
        <v>0</v>
      </c>
      <c r="K23" s="3122" t="s">
        <v>862</v>
      </c>
      <c r="L23" s="537" t="s">
        <v>379</v>
      </c>
      <c r="M23" s="569">
        <f>'数据-取费表'!B45</f>
        <v>1.5E-3</v>
      </c>
    </row>
    <row r="24" spans="1:37" s="559" customFormat="1" ht="18" customHeight="1" thickBot="1">
      <c r="A24" s="555" t="s">
        <v>2245</v>
      </c>
      <c r="B24" s="537" t="s">
        <v>863</v>
      </c>
      <c r="C24" s="197">
        <f ca="1">ROUND(IF('数据-取费表'!B23&lt;=1,F21*F24*F23/2,F21*(POWER((1+F24),F23/2)-1)),4)</f>
        <v>1E-3</v>
      </c>
      <c r="D24" s="1658" t="str">
        <f>IF(F23&lt;=1,"销售费用×利率×(建设周期÷2)","销售费用×((1+利率)^(建设周期÷2)-1)")</f>
        <v>销售费用×((1+利率)^(建设周期÷2)-1)</v>
      </c>
      <c r="E24" s="537" t="s">
        <v>864</v>
      </c>
      <c r="F24" s="570">
        <f ca="1">'数据-取费表'!E27</f>
        <v>4.7500000000000001E-2</v>
      </c>
      <c r="G24" s="2155"/>
      <c r="H24" s="2500" t="s">
        <v>2234</v>
      </c>
      <c r="I24" s="2501" t="s">
        <v>381</v>
      </c>
      <c r="J24" s="2502">
        <f ca="1">ROUND(J5*M24,0)</f>
        <v>0</v>
      </c>
      <c r="K24" s="2503" t="s">
        <v>865</v>
      </c>
      <c r="L24" s="2501" t="s">
        <v>379</v>
      </c>
      <c r="M24" s="2496">
        <f>'数据-取费表'!B46</f>
        <v>0.02</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2235</v>
      </c>
      <c r="B25" s="537" t="s">
        <v>386</v>
      </c>
      <c r="C25" s="197"/>
      <c r="D25" s="272" t="s">
        <v>866</v>
      </c>
      <c r="E25" s="3123"/>
      <c r="F25" s="199"/>
      <c r="G25" s="2155"/>
      <c r="H25" s="2488" t="s">
        <v>46</v>
      </c>
      <c r="I25" s="2505" t="s">
        <v>391</v>
      </c>
      <c r="J25" s="545">
        <f ca="1">J5-J16</f>
        <v>-18224</v>
      </c>
      <c r="K25" s="2506" t="s">
        <v>868</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2240</v>
      </c>
      <c r="B26" s="537" t="s">
        <v>2445</v>
      </c>
      <c r="C26" s="197">
        <f>ROUND((C19+C20)*F26,0)</f>
        <v>179532</v>
      </c>
      <c r="D26" s="562" t="s">
        <v>869</v>
      </c>
      <c r="E26" s="548" t="s">
        <v>870</v>
      </c>
      <c r="F26" s="547">
        <f>'数据-取费表'!E28</f>
        <v>0.2</v>
      </c>
      <c r="G26" s="1267"/>
      <c r="H26" s="534" t="s">
        <v>47</v>
      </c>
      <c r="I26" s="535" t="s">
        <v>871</v>
      </c>
      <c r="J26" s="536">
        <f ca="1">IF(J5&lt;&gt;0,ROUND(J25*(1-((1+M28)/(1+M26))^M27)/(M26-M28),0),0)</f>
        <v>0</v>
      </c>
      <c r="K26" s="564" t="s">
        <v>387</v>
      </c>
      <c r="L26" s="537" t="s">
        <v>388</v>
      </c>
      <c r="M26" s="547">
        <f>'数据-取费表'!B16</f>
        <v>0.05</v>
      </c>
    </row>
    <row r="27" spans="1:37" ht="18" customHeight="1">
      <c r="A27" s="555" t="s">
        <v>2245</v>
      </c>
      <c r="B27" s="537" t="s">
        <v>389</v>
      </c>
      <c r="C27" s="197">
        <f>ROUND(F21*F26,4)</f>
        <v>4.0000000000000001E-3</v>
      </c>
      <c r="D27" s="562" t="s">
        <v>873</v>
      </c>
      <c r="E27" s="557"/>
      <c r="F27" s="558"/>
      <c r="G27" s="1267"/>
      <c r="H27" s="539"/>
      <c r="I27" s="540"/>
      <c r="J27" s="541"/>
      <c r="K27" s="572" t="s">
        <v>874</v>
      </c>
      <c r="L27" s="537" t="s">
        <v>395</v>
      </c>
      <c r="M27" s="573" t="str">
        <f>'数据-取费表'!B40</f>
        <v>——</v>
      </c>
    </row>
    <row r="28" spans="1:37" ht="18" customHeight="1">
      <c r="A28" s="555" t="s">
        <v>2236</v>
      </c>
      <c r="B28" s="537" t="s">
        <v>390</v>
      </c>
      <c r="C28" s="197">
        <f>ROUND(F28/(1+'数据-取费表'!F30),4)</f>
        <v>5.33E-2</v>
      </c>
      <c r="D28" s="562" t="s">
        <v>882</v>
      </c>
      <c r="E28" s="537" t="s">
        <v>379</v>
      </c>
      <c r="F28" s="560">
        <f>'数据-取费表'!E29</f>
        <v>5.6000000000000001E-2</v>
      </c>
      <c r="G28" s="1267"/>
      <c r="H28" s="543"/>
      <c r="I28" s="544"/>
      <c r="J28" s="545"/>
      <c r="K28" s="567"/>
      <c r="L28" s="537" t="s">
        <v>883</v>
      </c>
      <c r="M28" s="547">
        <f>'数据-取费表'!B37</f>
        <v>0</v>
      </c>
    </row>
    <row r="29" spans="1:37" ht="18" customHeight="1" thickBot="1">
      <c r="A29" s="2500" t="s">
        <v>2237</v>
      </c>
      <c r="B29" s="2501" t="s">
        <v>884</v>
      </c>
      <c r="C29" s="2502">
        <f ca="1">ROUND((C19+C20+C23+C26)/(1-F21-C24-C27-C28),0)</f>
        <v>1214964</v>
      </c>
      <c r="D29" s="2503"/>
      <c r="E29" s="2501"/>
      <c r="F29" s="2504"/>
      <c r="G29" s="1267"/>
      <c r="H29" s="574" t="s">
        <v>48</v>
      </c>
      <c r="I29" s="575" t="s">
        <v>875</v>
      </c>
      <c r="J29" s="576">
        <f ca="1">ROUND(J26/(1+F40)^F41,0)</f>
        <v>0</v>
      </c>
      <c r="K29" s="577" t="s">
        <v>876</v>
      </c>
      <c r="L29" s="578"/>
      <c r="M29" s="579">
        <f>IF(D1="仅计算典型户型",'数据-取费表'!E5,'数据-取费表'!B5)</f>
        <v>255.46</v>
      </c>
    </row>
    <row r="30" spans="1:37" ht="18" customHeight="1" thickTop="1">
      <c r="A30" s="2488" t="s">
        <v>38</v>
      </c>
      <c r="B30" s="2489" t="s">
        <v>840</v>
      </c>
      <c r="C30" s="545">
        <f ca="1">ROUND(C31+C36+C37+C38,0)</f>
        <v>54977</v>
      </c>
      <c r="D30" s="2497" t="s">
        <v>841</v>
      </c>
      <c r="E30" s="2498"/>
      <c r="F30" s="2499"/>
      <c r="G30" s="1267"/>
      <c r="H30" s="2134"/>
      <c r="I30" s="2135"/>
      <c r="J30" s="2136"/>
      <c r="K30" s="2137"/>
      <c r="L30" s="2138"/>
      <c r="M30" s="2139"/>
    </row>
    <row r="31" spans="1:37" ht="18" customHeight="1">
      <c r="A31" s="555" t="s">
        <v>2232</v>
      </c>
      <c r="B31" s="537" t="s">
        <v>377</v>
      </c>
      <c r="C31" s="197">
        <f ca="1">ROUND(IF(项目基本情况!B7="自然人",C5*F31,C32+C33+C34),1)</f>
        <v>25210.6</v>
      </c>
      <c r="D31" s="3121" t="s">
        <v>844</v>
      </c>
      <c r="E31" s="3122" t="s">
        <v>885</v>
      </c>
      <c r="F31" s="561">
        <f>IF(项目基本情况!B7="企业","",IF('数据-取费表'!B10="住宅",5%,IF(F6*F7*F8/12/(1+'数据-取费表'!F30)&gt;20000,12%,7%)))</f>
        <v>0.05</v>
      </c>
      <c r="G31" s="1267"/>
      <c r="H31" s="2134"/>
      <c r="I31" s="2135"/>
      <c r="J31" s="2136"/>
      <c r="K31" s="2137"/>
      <c r="L31" s="2138"/>
      <c r="M31" s="2139"/>
    </row>
    <row r="32" spans="1:37" ht="18" customHeight="1">
      <c r="A32" s="555" t="s">
        <v>2240</v>
      </c>
      <c r="B32" s="537" t="s">
        <v>846</v>
      </c>
      <c r="C32" s="197" t="str">
        <f>IF(项目基本情况!B7="自然人","——",ROUND(C5*F32/(1+'数据-取费表'!F30),0))</f>
        <v>——</v>
      </c>
      <c r="D32" s="3122" t="s">
        <v>847</v>
      </c>
      <c r="E32" s="537" t="s">
        <v>379</v>
      </c>
      <c r="F32" s="570">
        <f>'数据-取费表'!E29</f>
        <v>5.6000000000000001E-2</v>
      </c>
      <c r="G32" s="1267"/>
      <c r="H32" s="2140"/>
      <c r="I32" s="2141"/>
      <c r="J32" s="2142"/>
      <c r="K32" s="2143"/>
      <c r="L32" s="2144"/>
      <c r="M32" s="2145"/>
    </row>
    <row r="33" spans="1:18" ht="18" customHeight="1">
      <c r="A33" s="555" t="s">
        <v>2241</v>
      </c>
      <c r="B33" s="537" t="s">
        <v>849</v>
      </c>
      <c r="C33" s="197" t="str">
        <f>IF(项目基本情况!B7="自然人","——",IF(D33="按租金收入计税",ROUND(C5*F33,1),IF(D33="按房产原值计税",ROUND(C29*F33*0.7,1),'数据-取费表'!B43)))</f>
        <v>——</v>
      </c>
      <c r="D33" s="1090" t="s">
        <v>2224</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2242</v>
      </c>
      <c r="B34" s="297" t="s">
        <v>851</v>
      </c>
      <c r="C34" s="198" t="str">
        <f>IF(项目基本情况!B7="自然人","——",ROUND(F34*F35,0))</f>
        <v>——</v>
      </c>
      <c r="D34" s="564" t="s">
        <v>887</v>
      </c>
      <c r="E34" s="537" t="s">
        <v>888</v>
      </c>
      <c r="F34" s="565">
        <f>'数据-取费表'!E40</f>
        <v>24</v>
      </c>
      <c r="G34" s="1267"/>
      <c r="H34" s="2134"/>
      <c r="I34" s="583" t="s">
        <v>889</v>
      </c>
      <c r="J34" s="584">
        <f ca="1">ROUND(C13*J35,0)</f>
        <v>77758</v>
      </c>
      <c r="K34" s="2148"/>
      <c r="L34" s="2149"/>
      <c r="M34" s="2149"/>
    </row>
    <row r="35" spans="1:18" ht="24.6" customHeight="1">
      <c r="A35" s="2456"/>
      <c r="B35" s="546"/>
      <c r="C35" s="202"/>
      <c r="D35" s="567"/>
      <c r="E35" s="537" t="s">
        <v>857</v>
      </c>
      <c r="F35" s="538">
        <f>IF(D1="仅计算典型户型",'数据-取费表'!E6,'数据-取费表'!B6)</f>
        <v>0</v>
      </c>
      <c r="G35" s="1267"/>
      <c r="H35" s="2134"/>
      <c r="I35" s="585" t="s">
        <v>890</v>
      </c>
      <c r="J35" s="586">
        <f>'数据-取费表'!B17</f>
        <v>0.08</v>
      </c>
      <c r="K35" s="2147"/>
      <c r="L35" s="2146"/>
      <c r="M35" s="2146"/>
    </row>
    <row r="36" spans="1:18" ht="18" customHeight="1">
      <c r="A36" s="2455" t="s">
        <v>2239</v>
      </c>
      <c r="B36" s="537" t="s">
        <v>859</v>
      </c>
      <c r="C36" s="197">
        <f ca="1">ROUND(C29*F36,0)</f>
        <v>18224</v>
      </c>
      <c r="D36" s="3122" t="s">
        <v>891</v>
      </c>
      <c r="E36" s="537" t="s">
        <v>379</v>
      </c>
      <c r="F36" s="568">
        <f>'数据-取费表'!B44</f>
        <v>1.4999999999999999E-2</v>
      </c>
      <c r="G36" s="1267"/>
      <c r="H36" s="2146"/>
      <c r="I36" s="587" t="s">
        <v>893</v>
      </c>
      <c r="J36" s="588"/>
      <c r="K36" s="2150"/>
      <c r="L36" s="2146"/>
      <c r="M36" s="2146"/>
    </row>
    <row r="37" spans="1:18" ht="18" customHeight="1">
      <c r="A37" s="555" t="s">
        <v>2233</v>
      </c>
      <c r="B37" s="537" t="s">
        <v>382</v>
      </c>
      <c r="C37" s="197">
        <f ca="1">ROUND(C13*F37,0)</f>
        <v>1458</v>
      </c>
      <c r="D37" s="3122" t="s">
        <v>383</v>
      </c>
      <c r="E37" s="537" t="s">
        <v>379</v>
      </c>
      <c r="F37" s="569">
        <f>'数据-取费表'!B45</f>
        <v>1.5E-3</v>
      </c>
      <c r="G37" s="1267"/>
      <c r="H37" s="2146"/>
      <c r="I37" s="433" t="s">
        <v>877</v>
      </c>
      <c r="J37" s="589"/>
      <c r="K37" s="2150"/>
      <c r="L37" s="2146"/>
      <c r="M37" s="2146"/>
    </row>
    <row r="38" spans="1:18" ht="18" customHeight="1" thickBot="1">
      <c r="A38" s="2500" t="s">
        <v>2234</v>
      </c>
      <c r="B38" s="2501" t="s">
        <v>381</v>
      </c>
      <c r="C38" s="2502">
        <f ca="1">ROUND(C5*F38,0)</f>
        <v>10084</v>
      </c>
      <c r="D38" s="2503" t="s">
        <v>385</v>
      </c>
      <c r="E38" s="2501" t="s">
        <v>379</v>
      </c>
      <c r="F38" s="2496">
        <f>'数据-取费表'!B46</f>
        <v>0.02</v>
      </c>
      <c r="G38" s="1267"/>
      <c r="H38" s="2146"/>
      <c r="I38" s="583" t="s">
        <v>878</v>
      </c>
      <c r="J38" s="437">
        <f ca="1">ROUND(J34/C39,3)</f>
        <v>0.17299999999999999</v>
      </c>
      <c r="K38" s="2151"/>
      <c r="L38" s="2146"/>
      <c r="M38" s="2146"/>
    </row>
    <row r="39" spans="1:18" ht="18" customHeight="1" thickTop="1">
      <c r="A39" s="2488" t="s">
        <v>46</v>
      </c>
      <c r="B39" s="2505" t="s">
        <v>391</v>
      </c>
      <c r="C39" s="545">
        <f ca="1">C5-C30</f>
        <v>449234</v>
      </c>
      <c r="D39" s="2506" t="s">
        <v>392</v>
      </c>
      <c r="E39" s="2507"/>
      <c r="F39" s="2508"/>
      <c r="G39" s="1267"/>
      <c r="H39" s="2146"/>
      <c r="I39" s="583" t="s">
        <v>879</v>
      </c>
      <c r="J39" s="437">
        <f ca="1">1-J38</f>
        <v>0.82699999999999996</v>
      </c>
      <c r="K39" s="2151"/>
      <c r="L39" s="2146"/>
      <c r="M39" s="2146"/>
    </row>
    <row r="40" spans="1:18" s="1267" customFormat="1" ht="18" customHeight="1">
      <c r="A40" s="534" t="s">
        <v>47</v>
      </c>
      <c r="B40" s="535" t="s">
        <v>393</v>
      </c>
      <c r="C40" s="536">
        <f ca="1">ROUND(C39*(1-((1+F42)/(1+F40))^F41)/(F40-F42),0)</f>
        <v>11249921</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2807</v>
      </c>
      <c r="F41" s="573">
        <f>IF('数据-取费表'!B28="租赁期内按合同租金",'数据-取费表'!B34,IF(E41="收益年期(n)",'数据-取费表'!B33,'数据-取费表'!B13))</f>
        <v>48</v>
      </c>
      <c r="H41" s="2153"/>
      <c r="I41" s="436" t="s">
        <v>371</v>
      </c>
      <c r="J41" s="437">
        <f ca="1">ROUND(C13/C40,3)</f>
        <v>8.5999999999999993E-2</v>
      </c>
      <c r="K41" s="2150"/>
      <c r="L41" s="2153"/>
      <c r="M41" s="2153"/>
      <c r="Q41" s="1271"/>
    </row>
    <row r="42" spans="1:18" s="1267" customFormat="1" ht="18" customHeight="1">
      <c r="A42" s="543"/>
      <c r="B42" s="544"/>
      <c r="C42" s="545"/>
      <c r="D42" s="567"/>
      <c r="E42" s="537" t="s">
        <v>396</v>
      </c>
      <c r="F42" s="547">
        <f>'数据-取费表'!B31</f>
        <v>0.02</v>
      </c>
      <c r="H42" s="2153"/>
      <c r="I42" s="436" t="s">
        <v>372</v>
      </c>
      <c r="J42" s="438">
        <f ca="1">1-J41</f>
        <v>0.91400000000000003</v>
      </c>
      <c r="K42" s="2150"/>
      <c r="L42" s="2153"/>
      <c r="M42" s="2153"/>
      <c r="Q42" s="1271"/>
    </row>
    <row r="43" spans="1:18" s="1267" customFormat="1" ht="18" customHeight="1" thickBot="1">
      <c r="A43" s="574" t="s">
        <v>48</v>
      </c>
      <c r="B43" s="575" t="s">
        <v>397</v>
      </c>
      <c r="C43" s="576">
        <f ca="1">ROUND(C40/F43,0)</f>
        <v>44038</v>
      </c>
      <c r="D43" s="577" t="s">
        <v>398</v>
      </c>
      <c r="E43" s="578" t="s">
        <v>399</v>
      </c>
      <c r="F43" s="579">
        <f>IF(D1="仅计算典型户型",'数据-取费表'!E5,'数据-取费表'!B5)</f>
        <v>255.46</v>
      </c>
      <c r="G43" s="1269"/>
      <c r="H43" s="2153"/>
      <c r="I43" s="2153"/>
      <c r="J43" s="2153"/>
      <c r="K43" s="2150"/>
      <c r="L43" s="2153"/>
      <c r="M43" s="2153"/>
      <c r="O43" s="2390" t="s">
        <v>2342</v>
      </c>
      <c r="P43" s="2391"/>
      <c r="Q43" s="2387"/>
      <c r="R43" s="2391"/>
    </row>
    <row r="44" spans="1:18" s="1267" customFormat="1" ht="18" customHeight="1" thickBot="1">
      <c r="A44" s="1223"/>
      <c r="B44" s="1223"/>
      <c r="C44" s="1266"/>
      <c r="D44" s="1223"/>
      <c r="E44" s="1223"/>
      <c r="F44" s="1223"/>
      <c r="G44" s="1269"/>
      <c r="K44" s="1268"/>
      <c r="O44" s="2392" t="s">
        <v>2343</v>
      </c>
      <c r="P44" s="2393" t="s">
        <v>2344</v>
      </c>
      <c r="Q44" s="2394" t="s">
        <v>2345</v>
      </c>
      <c r="R44" s="2395" t="s">
        <v>2346</v>
      </c>
    </row>
    <row r="45" spans="1:18" s="1267" customFormat="1" ht="18" customHeight="1" thickBot="1">
      <c r="A45" s="1223"/>
      <c r="B45" s="1223"/>
      <c r="C45" s="1266"/>
      <c r="D45" s="1223"/>
      <c r="E45" s="1223"/>
      <c r="F45" s="1223"/>
      <c r="G45" s="1270"/>
      <c r="K45" s="1268"/>
      <c r="O45" s="2396" t="s">
        <v>2347</v>
      </c>
      <c r="P45" s="2405" t="s">
        <v>2373</v>
      </c>
      <c r="Q45" s="2398">
        <f ca="1">C40+J29</f>
        <v>11249921</v>
      </c>
      <c r="R45" s="2399" t="s">
        <v>2348</v>
      </c>
    </row>
    <row r="46" spans="1:18" s="1267" customFormat="1" ht="18" customHeight="1" thickBot="1">
      <c r="A46" s="1223"/>
      <c r="D46" s="1223"/>
      <c r="E46" s="1223"/>
      <c r="F46" s="1223"/>
      <c r="K46" s="1268"/>
      <c r="O46" s="2396" t="s">
        <v>2349</v>
      </c>
      <c r="P46" s="2405" t="s">
        <v>2374</v>
      </c>
      <c r="Q46" s="2398" t="str">
        <f>J61</f>
        <v>0</v>
      </c>
      <c r="R46" s="2399" t="s">
        <v>2350</v>
      </c>
    </row>
    <row r="47" spans="1:18" s="1267" customFormat="1" ht="21" thickBot="1">
      <c r="A47" s="2273" t="s">
        <v>2231</v>
      </c>
      <c r="B47" s="2270"/>
      <c r="C47" s="2282">
        <f ca="1">IF(C2="元",C69-C40,ROUND((C69-C40)/10000,0))</f>
        <v>-324</v>
      </c>
      <c r="D47" s="2283" t="str">
        <f>C2</f>
        <v>万元</v>
      </c>
      <c r="E47" s="1223"/>
      <c r="F47" s="1223"/>
      <c r="I47" s="2358" t="s">
        <v>2313</v>
      </c>
      <c r="J47" s="2359"/>
      <c r="K47" s="2360"/>
      <c r="L47" s="2386">
        <f>IF(M48="住宅",0,IF(L49&gt;J52,L61,J61))</f>
        <v>0</v>
      </c>
      <c r="O47" s="2400" t="s">
        <v>2351</v>
      </c>
      <c r="P47" s="2405" t="s">
        <v>2375</v>
      </c>
      <c r="Q47" s="2398">
        <f ca="1">C29</f>
        <v>1214964</v>
      </c>
      <c r="R47" s="2399" t="s">
        <v>2348</v>
      </c>
    </row>
    <row r="48" spans="1:18" s="1267" customFormat="1" ht="15.75" thickBot="1">
      <c r="A48" s="530" t="s">
        <v>822</v>
      </c>
      <c r="B48" s="531" t="s">
        <v>823</v>
      </c>
      <c r="C48" s="531" t="s">
        <v>824</v>
      </c>
      <c r="D48" s="531" t="s">
        <v>825</v>
      </c>
      <c r="E48" s="2276" t="s">
        <v>826</v>
      </c>
      <c r="F48" s="2277"/>
      <c r="H48" s="2351"/>
      <c r="I48" s="2361" t="s">
        <v>2314</v>
      </c>
      <c r="J48" s="2362" t="s">
        <v>2935</v>
      </c>
      <c r="K48" s="2363" t="s">
        <v>2315</v>
      </c>
      <c r="L48" s="2364">
        <f>'数据-取费表'!B11</f>
        <v>70</v>
      </c>
      <c r="M48" s="2387" t="str">
        <f>IF('数据-取费表'!B10="住宅","住宅","非住宅")</f>
        <v>住宅</v>
      </c>
      <c r="O48" s="2400" t="s">
        <v>2352</v>
      </c>
      <c r="P48" s="2397" t="s">
        <v>2353</v>
      </c>
      <c r="Q48" s="2401" t="e">
        <f>J59</f>
        <v>#VALUE!</v>
      </c>
      <c r="R48" s="2399"/>
    </row>
    <row r="49" spans="1:18" s="1267" customFormat="1" ht="15.75" thickBot="1">
      <c r="A49" s="2531" t="s">
        <v>2523</v>
      </c>
      <c r="B49" s="535" t="s">
        <v>827</v>
      </c>
      <c r="C49" s="2532">
        <f ca="1">C50+C54+C56</f>
        <v>396282</v>
      </c>
      <c r="D49" s="2533"/>
      <c r="E49" s="318"/>
      <c r="F49" s="199"/>
      <c r="H49" s="2351"/>
      <c r="I49" s="2354" t="s">
        <v>2316</v>
      </c>
      <c r="J49" s="2365" t="s">
        <v>2302</v>
      </c>
      <c r="K49" s="2366" t="s">
        <v>2317</v>
      </c>
      <c r="L49" s="1947">
        <f>'数据-取费表'!B13</f>
        <v>56.56</v>
      </c>
      <c r="O49" s="2400" t="s">
        <v>2354</v>
      </c>
      <c r="P49" s="2397" t="s">
        <v>2355</v>
      </c>
      <c r="Q49" s="2401">
        <f>J53</f>
        <v>0.08</v>
      </c>
      <c r="R49" s="2399"/>
    </row>
    <row r="50" spans="1:18" s="1267" customFormat="1" ht="15.75" thickBot="1">
      <c r="A50" s="563" t="s">
        <v>2232</v>
      </c>
      <c r="B50" s="1813" t="s">
        <v>2524</v>
      </c>
      <c r="C50" s="536">
        <f>ROUND(F50*F52*F51*(1-F53),0)</f>
        <v>396282</v>
      </c>
      <c r="D50" s="310" t="s">
        <v>828</v>
      </c>
      <c r="E50" s="2275" t="s">
        <v>2230</v>
      </c>
      <c r="F50" s="2278">
        <v>5</v>
      </c>
      <c r="H50" s="2351"/>
      <c r="I50" s="2354" t="s">
        <v>2318</v>
      </c>
      <c r="J50" s="1947">
        <f>'数据-取费表'!B26</f>
        <v>2005</v>
      </c>
      <c r="K50" s="2367" t="s">
        <v>2319</v>
      </c>
      <c r="L50" s="2368"/>
      <c r="O50" s="2400" t="s">
        <v>2356</v>
      </c>
      <c r="P50" s="2397" t="s">
        <v>2357</v>
      </c>
      <c r="Q50" s="2398">
        <f>J54</f>
        <v>48</v>
      </c>
      <c r="R50" s="2399" t="s">
        <v>2358</v>
      </c>
    </row>
    <row r="51" spans="1:18" s="1267" customFormat="1" ht="15.75" thickBot="1">
      <c r="A51" s="539"/>
      <c r="B51" s="540"/>
      <c r="C51" s="541"/>
      <c r="D51" s="542"/>
      <c r="E51" s="557" t="s">
        <v>830</v>
      </c>
      <c r="F51" s="2274">
        <f>F7</f>
        <v>255.46</v>
      </c>
      <c r="H51" s="2351"/>
      <c r="I51" s="2354" t="s">
        <v>2320</v>
      </c>
      <c r="J51" s="2369">
        <f>SUMPRODUCT((I64:I66=J48)*(J63:L63=J49)*(J64:L66))</f>
        <v>60</v>
      </c>
      <c r="K51" s="2367" t="s">
        <v>2321</v>
      </c>
      <c r="L51" s="2368"/>
      <c r="O51" s="2396" t="s">
        <v>2359</v>
      </c>
      <c r="P51" s="2397" t="str">
        <f>IF(C2="元","收益价值(元)","收益价值(万元)")</f>
        <v>收益价值(万元)</v>
      </c>
      <c r="Q51" s="2398">
        <f ca="1">ROUND(IF(C2="元",Q45+Q46,(Q45+Q46)/10000),0)</f>
        <v>1125</v>
      </c>
      <c r="R51" s="2399" t="s">
        <v>2360</v>
      </c>
    </row>
    <row r="52" spans="1:18" s="1267" customFormat="1" ht="16.5" thickBot="1">
      <c r="A52" s="539"/>
      <c r="B52" s="540"/>
      <c r="C52" s="541"/>
      <c r="D52" s="542"/>
      <c r="E52" s="537" t="s">
        <v>831</v>
      </c>
      <c r="F52" s="538">
        <f>F8</f>
        <v>365</v>
      </c>
      <c r="H52" s="2351"/>
      <c r="I52" s="2370" t="s">
        <v>2322</v>
      </c>
      <c r="J52" s="2371">
        <f>IF(J50="",J51,J50+J51-YEAR('数据-取费表'!B2))</f>
        <v>48</v>
      </c>
      <c r="K52" s="2372" t="s">
        <v>2323</v>
      </c>
      <c r="L52" s="2373">
        <f ca="1">ROUND(-PV('数据-取费表'!B15,L49,(C40-C13*J35)),0)</f>
        <v>227677877</v>
      </c>
      <c r="O52" s="2390" t="s">
        <v>2361</v>
      </c>
      <c r="P52" s="2391"/>
      <c r="Q52" s="2387"/>
      <c r="R52" s="2391"/>
    </row>
    <row r="53" spans="1:18" s="1267" customFormat="1" ht="15.75" thickBot="1">
      <c r="A53" s="543"/>
      <c r="B53" s="544"/>
      <c r="C53" s="545"/>
      <c r="D53" s="546"/>
      <c r="E53" s="537" t="s">
        <v>832</v>
      </c>
      <c r="F53" s="2385">
        <v>0.15</v>
      </c>
      <c r="H53" s="2351"/>
      <c r="I53" s="2374" t="s">
        <v>2324</v>
      </c>
      <c r="J53" s="2375">
        <v>0.08</v>
      </c>
      <c r="K53" s="2374" t="s">
        <v>2325</v>
      </c>
      <c r="L53" s="2375"/>
      <c r="O53" s="2392" t="s">
        <v>2343</v>
      </c>
      <c r="P53" s="2393" t="s">
        <v>2344</v>
      </c>
      <c r="Q53" s="2394" t="s">
        <v>2345</v>
      </c>
      <c r="R53" s="2395" t="s">
        <v>2346</v>
      </c>
    </row>
    <row r="54" spans="1:18" s="1267" customFormat="1" ht="29.25" thickBot="1">
      <c r="A54" s="2445" t="s">
        <v>2239</v>
      </c>
      <c r="B54" s="2448" t="s">
        <v>2446</v>
      </c>
      <c r="C54" s="2447">
        <f ca="1">ROUND(IF(F54="押一",F50*F51*F52/12*F11,IF(F54="押二",F50*F51*F52/12*2*F11,IF(F54="押三",F50*F51*F52/12*3*F11,C55*F11))),0)</f>
        <v>0</v>
      </c>
      <c r="D54" s="2446" t="s">
        <v>2449</v>
      </c>
      <c r="E54" s="2441" t="s">
        <v>2450</v>
      </c>
      <c r="F54" s="2449"/>
      <c r="H54" s="2351"/>
      <c r="I54" s="2376" t="s">
        <v>2326</v>
      </c>
      <c r="J54" s="2377">
        <f>IF(M48="住宅",J52,MIN(J52,L49))</f>
        <v>48</v>
      </c>
      <c r="K54" s="337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6"/>
      <c r="O54" s="2396" t="s">
        <v>2347</v>
      </c>
      <c r="P54" s="2405" t="s">
        <v>2373</v>
      </c>
      <c r="Q54" s="2398">
        <f ca="1">C40+J29</f>
        <v>11249921</v>
      </c>
      <c r="R54" s="2399" t="s">
        <v>2348</v>
      </c>
    </row>
    <row r="55" spans="1:18" s="1267" customFormat="1" ht="20.25" thickBot="1">
      <c r="A55" s="2445"/>
      <c r="B55" s="2603" t="s">
        <v>2575</v>
      </c>
      <c r="C55" s="2486"/>
      <c r="D55" s="2602"/>
      <c r="E55" s="2534"/>
      <c r="F55" s="2279"/>
      <c r="H55" s="2351"/>
      <c r="I55" s="2152"/>
      <c r="J55" s="2378"/>
      <c r="K55" s="2378"/>
      <c r="L55" s="2378"/>
      <c r="O55" s="2396" t="s">
        <v>2349</v>
      </c>
      <c r="P55" s="2405" t="s">
        <v>2376</v>
      </c>
      <c r="Q55" s="2398">
        <f>L61</f>
        <v>0</v>
      </c>
      <c r="R55" s="2399" t="s">
        <v>2362</v>
      </c>
    </row>
    <row r="56" spans="1:18" s="1267" customFormat="1" ht="20.25" thickBot="1">
      <c r="A56" s="2492" t="s">
        <v>2514</v>
      </c>
      <c r="B56" s="2493" t="s">
        <v>2452</v>
      </c>
      <c r="C56" s="2494"/>
      <c r="D56" s="2605"/>
      <c r="E56" s="2606"/>
      <c r="F56" s="2607"/>
      <c r="H56" s="2351"/>
      <c r="I56" s="3103" t="s">
        <v>2327</v>
      </c>
      <c r="J56" s="3105" t="e">
        <f>ROUND(IF(J48="钢混",J58/J51,1-(1-2%)*(J51-J58)/J51),3)</f>
        <v>#VALUE!</v>
      </c>
      <c r="K56" s="2379" t="s">
        <v>2328</v>
      </c>
      <c r="L56" s="2380"/>
      <c r="O56" s="2400" t="s">
        <v>2351</v>
      </c>
      <c r="P56" s="2397" t="s">
        <v>2377</v>
      </c>
      <c r="Q56" s="2398">
        <f>IF(L56="比较法",L50,IF(L56="基准地价",L51,0))</f>
        <v>0</v>
      </c>
      <c r="R56" s="2399" t="s">
        <v>2348</v>
      </c>
    </row>
    <row r="57" spans="1:18" s="1267" customFormat="1" ht="44.25" thickTop="1" thickBot="1">
      <c r="A57" s="2488">
        <v>2</v>
      </c>
      <c r="B57" s="2489" t="s">
        <v>833</v>
      </c>
      <c r="C57" s="2604">
        <f ca="1">C13</f>
        <v>971971</v>
      </c>
      <c r="D57" s="2271"/>
      <c r="E57" s="2272"/>
      <c r="F57" s="2281"/>
      <c r="H57" s="2351"/>
      <c r="I57" s="2352" t="s">
        <v>2329</v>
      </c>
      <c r="J57" s="2384"/>
      <c r="K57" s="2354" t="s">
        <v>2334</v>
      </c>
      <c r="L57" s="1947">
        <f>IF(L49&lt;J52,"——",L49-J52)</f>
        <v>8.5600000000000023</v>
      </c>
      <c r="O57" s="2400" t="s">
        <v>2352</v>
      </c>
      <c r="P57" s="2397" t="s">
        <v>2363</v>
      </c>
      <c r="Q57" s="2401">
        <f>L53</f>
        <v>0</v>
      </c>
      <c r="R57" s="2399"/>
    </row>
    <row r="58" spans="1:18" s="1267" customFormat="1" ht="29.25" thickBot="1">
      <c r="A58" s="2280"/>
      <c r="B58" s="537" t="s">
        <v>884</v>
      </c>
      <c r="C58" s="405">
        <f ca="1">C29</f>
        <v>1214964</v>
      </c>
      <c r="D58" s="2271"/>
      <c r="E58" s="2272"/>
      <c r="F58" s="2281"/>
      <c r="H58" s="2351"/>
      <c r="I58" s="2353" t="s">
        <v>2330</v>
      </c>
      <c r="J58" s="2383" t="str">
        <f>IF(OR(M48="住宅",J52&lt;L49,J57="是"),"——",J52-L49)</f>
        <v>——</v>
      </c>
      <c r="K58" s="2354" t="s">
        <v>2335</v>
      </c>
      <c r="L58" s="1947">
        <f ca="1">IF(L49&lt;J52,"——",IF(L56="比较法",L50,IF(L56="基准地价",L51,L52)))</f>
        <v>227677877</v>
      </c>
      <c r="O58" s="2400" t="s">
        <v>2354</v>
      </c>
      <c r="P58" s="2397" t="s">
        <v>2364</v>
      </c>
      <c r="Q58" s="2398">
        <f>L59</f>
        <v>0</v>
      </c>
      <c r="R58" s="2399" t="s">
        <v>2365</v>
      </c>
    </row>
    <row r="59" spans="1:18" s="1267" customFormat="1" ht="29.25" thickBot="1">
      <c r="A59" s="550" t="s">
        <v>38</v>
      </c>
      <c r="B59" s="551" t="s">
        <v>840</v>
      </c>
      <c r="C59" s="552">
        <f ca="1">ROUND(C60+C65+C66+C67,0)</f>
        <v>47422</v>
      </c>
      <c r="D59" s="195" t="s">
        <v>841</v>
      </c>
      <c r="E59" s="3123"/>
      <c r="F59" s="199"/>
      <c r="H59" s="2351"/>
      <c r="I59" s="2353" t="s">
        <v>2331</v>
      </c>
      <c r="J59" s="3104" t="e">
        <f>IF(J56&lt;0.4,0.4,J56)</f>
        <v>#VALUE!</v>
      </c>
      <c r="K59" s="2372" t="s">
        <v>2336</v>
      </c>
      <c r="L59" s="1947">
        <f>IF(ISERROR(POWER(1+L53,L48-L49)*(POWER(1+L53,L49)-1)/(POWER(1+L53,L48)-1)),0,POWER(1+L53,L48-L49)*(POWER(1+L53,L49)-1)/(POWER(1+L53,L48)-1))</f>
        <v>0</v>
      </c>
      <c r="O59" s="2400" t="s">
        <v>2356</v>
      </c>
      <c r="P59" s="2397" t="s">
        <v>2366</v>
      </c>
      <c r="Q59" s="2398">
        <f>L60</f>
        <v>0</v>
      </c>
      <c r="R59" s="2399" t="s">
        <v>2367</v>
      </c>
    </row>
    <row r="60" spans="1:18" s="1267" customFormat="1" ht="29.25" thickBot="1">
      <c r="A60" s="555" t="s">
        <v>39</v>
      </c>
      <c r="B60" s="537" t="s">
        <v>377</v>
      </c>
      <c r="C60" s="197">
        <f ca="1">ROUND(IF(项目基本情况!B7="自然人",C49*F60,C61+C62+C63),1)</f>
        <v>19814.099999999999</v>
      </c>
      <c r="D60" s="3121" t="s">
        <v>844</v>
      </c>
      <c r="E60" s="3122" t="s">
        <v>885</v>
      </c>
      <c r="F60" s="561">
        <f>IF(项目基本情况!B7="企业","",IF('数据-取费表'!B10="住宅",5%,IF(F50*F51*F52/12/(1+'数据-取费表'!F30)&gt;20000,12%,7%)))</f>
        <v>0.05</v>
      </c>
      <c r="I60" s="2353" t="s">
        <v>2332</v>
      </c>
      <c r="J60" s="2383" t="str">
        <f>IF(OR(M48="住宅",J52&lt;L49,J57="是"),"——",ROUND(C29*J59,0))</f>
        <v>——</v>
      </c>
      <c r="K60" s="2372" t="s">
        <v>2337</v>
      </c>
      <c r="L60" s="1947">
        <f>IF(ISERROR(POWER(1+L53,L48-J52)*(POWER(1+L53,J52)-1)/(POWER(1+L53,L48)-1)),0,POWER(1+L53,L48-J52)*(POWER(1+L53,J52)-1)/(POWER(1+L53,L48)-1))</f>
        <v>0</v>
      </c>
      <c r="O60" s="2396" t="s">
        <v>2359</v>
      </c>
      <c r="P60" s="2397" t="str">
        <f>IF(C2="元","收益价值(元)","收益价值(万元)")</f>
        <v>收益价值(万元)</v>
      </c>
      <c r="Q60" s="2398">
        <f ca="1">ROUND(IF(C2="元",Q54+Q55,(Q54+Q55)/10000),0)</f>
        <v>1125</v>
      </c>
      <c r="R60" s="2399" t="s">
        <v>2360</v>
      </c>
    </row>
    <row r="61" spans="1:18" s="1267" customFormat="1" ht="16.5" thickBot="1">
      <c r="A61" s="555" t="s">
        <v>40</v>
      </c>
      <c r="B61" s="537" t="s">
        <v>846</v>
      </c>
      <c r="C61" s="197" t="str">
        <f>IF(项目基本情况!B7="自然人","——",ROUND(C49*F61/(1+'数据-取费表'!F30),0))</f>
        <v>——</v>
      </c>
      <c r="D61" s="3122" t="s">
        <v>847</v>
      </c>
      <c r="E61" s="537" t="s">
        <v>379</v>
      </c>
      <c r="F61" s="570">
        <f t="shared" ref="F61:F67" si="0">F32</f>
        <v>5.6000000000000001E-2</v>
      </c>
      <c r="I61" s="2355" t="s">
        <v>2333</v>
      </c>
      <c r="J61" s="2382" t="str">
        <f>IF(OR(M48="住宅",J52&lt;L49,J57="是"),"0",ROUND(J60/(1+J53)^J54,0))</f>
        <v>0</v>
      </c>
      <c r="K61" s="2381" t="s">
        <v>2338</v>
      </c>
      <c r="L61" s="2382">
        <f>IF(OR(M48="住宅",L49&lt;J52),0,ROUND(L58*(L59/L60-1),0))</f>
        <v>0</v>
      </c>
      <c r="O61" s="2390" t="s">
        <v>2368</v>
      </c>
      <c r="P61" s="2391"/>
      <c r="Q61" s="2387"/>
      <c r="R61" s="2391"/>
    </row>
    <row r="62" spans="1:18" s="1267" customFormat="1" ht="15.75" thickBot="1">
      <c r="A62" s="555" t="s">
        <v>41</v>
      </c>
      <c r="B62" s="537" t="s">
        <v>849</v>
      </c>
      <c r="C62" s="197" t="str">
        <f>IF(项目基本情况!B7="自然人","——",IF(D62="按租金收入计税",ROUND(C49*F62,1),IF(D62="按房产原值计税",ROUND(C58*F62*0.7,1),'数据-取费表'!B43)))</f>
        <v>——</v>
      </c>
      <c r="D62" s="1090" t="s">
        <v>2224</v>
      </c>
      <c r="E62" s="537" t="s">
        <v>379</v>
      </c>
      <c r="F62" s="560">
        <f t="shared" si="0"/>
        <v>1.2E-2</v>
      </c>
      <c r="O62" s="2392" t="s">
        <v>2343</v>
      </c>
      <c r="P62" s="2393" t="s">
        <v>2344</v>
      </c>
      <c r="Q62" s="2394" t="s">
        <v>2345</v>
      </c>
      <c r="R62" s="2395" t="s">
        <v>2346</v>
      </c>
    </row>
    <row r="63" spans="1:18" s="1267" customFormat="1" ht="15.75" thickBot="1">
      <c r="A63" s="563" t="s">
        <v>42</v>
      </c>
      <c r="B63" s="297" t="s">
        <v>851</v>
      </c>
      <c r="C63" s="198" t="str">
        <f>IF(项目基本情况!B7="自然人","——",ROUND(F63*F64,0))</f>
        <v>——</v>
      </c>
      <c r="D63" s="564" t="s">
        <v>887</v>
      </c>
      <c r="E63" s="537" t="s">
        <v>888</v>
      </c>
      <c r="F63" s="565">
        <f t="shared" si="0"/>
        <v>24</v>
      </c>
      <c r="I63" s="2356" t="s">
        <v>2312</v>
      </c>
      <c r="J63" s="2357" t="s">
        <v>2304</v>
      </c>
      <c r="K63" s="2357" t="s">
        <v>2306</v>
      </c>
      <c r="L63" s="2357" t="s">
        <v>2302</v>
      </c>
      <c r="M63" s="3108" t="s">
        <v>2904</v>
      </c>
      <c r="O63" s="2396" t="s">
        <v>2347</v>
      </c>
      <c r="P63" s="2405" t="s">
        <v>2373</v>
      </c>
      <c r="Q63" s="2398">
        <f ca="1">C40+J29</f>
        <v>11249921</v>
      </c>
      <c r="R63" s="2399" t="s">
        <v>2348</v>
      </c>
    </row>
    <row r="64" spans="1:18" s="1267" customFormat="1" ht="20.25" thickBot="1">
      <c r="A64" s="566"/>
      <c r="B64" s="546"/>
      <c r="C64" s="202"/>
      <c r="D64" s="567"/>
      <c r="E64" s="537" t="s">
        <v>857</v>
      </c>
      <c r="F64" s="538">
        <f t="shared" si="0"/>
        <v>0</v>
      </c>
      <c r="I64" s="2356" t="s">
        <v>2339</v>
      </c>
      <c r="J64" s="3109">
        <v>70</v>
      </c>
      <c r="K64" s="3109">
        <v>50</v>
      </c>
      <c r="L64" s="3109">
        <v>80</v>
      </c>
      <c r="M64" s="3106">
        <v>0.02</v>
      </c>
      <c r="O64" s="2396" t="s">
        <v>2349</v>
      </c>
      <c r="P64" s="2405" t="s">
        <v>2376</v>
      </c>
      <c r="Q64" s="2398">
        <f>L61</f>
        <v>0</v>
      </c>
      <c r="R64" s="2399" t="s">
        <v>2362</v>
      </c>
    </row>
    <row r="65" spans="1:18" s="1267" customFormat="1" ht="23.25" thickBot="1">
      <c r="A65" s="555" t="s">
        <v>43</v>
      </c>
      <c r="B65" s="537" t="s">
        <v>859</v>
      </c>
      <c r="C65" s="197">
        <f ca="1">ROUND(C58*F65,0)</f>
        <v>18224</v>
      </c>
      <c r="D65" s="3122" t="s">
        <v>891</v>
      </c>
      <c r="E65" s="537" t="s">
        <v>379</v>
      </c>
      <c r="F65" s="568">
        <f t="shared" si="0"/>
        <v>1.4999999999999999E-2</v>
      </c>
      <c r="I65" s="2356" t="s">
        <v>2340</v>
      </c>
      <c r="J65" s="3109">
        <v>50</v>
      </c>
      <c r="K65" s="3109">
        <v>35</v>
      </c>
      <c r="L65" s="3109">
        <v>60</v>
      </c>
      <c r="M65" s="3107">
        <v>0</v>
      </c>
      <c r="O65" s="2400" t="s">
        <v>2351</v>
      </c>
      <c r="P65" s="2397" t="s">
        <v>2377</v>
      </c>
      <c r="Q65" s="2402">
        <f ca="1">L52</f>
        <v>227677877</v>
      </c>
      <c r="R65" s="2403" t="s">
        <v>2382</v>
      </c>
    </row>
    <row r="66" spans="1:18" s="1267" customFormat="1" ht="20.25" thickBot="1">
      <c r="A66" s="555" t="s">
        <v>44</v>
      </c>
      <c r="B66" s="537" t="s">
        <v>382</v>
      </c>
      <c r="C66" s="197">
        <f ca="1">ROUND(C57*F66,0)</f>
        <v>1458</v>
      </c>
      <c r="D66" s="3122" t="s">
        <v>383</v>
      </c>
      <c r="E66" s="537" t="s">
        <v>379</v>
      </c>
      <c r="F66" s="569">
        <f t="shared" si="0"/>
        <v>1.5E-3</v>
      </c>
      <c r="I66" s="2356" t="s">
        <v>2341</v>
      </c>
      <c r="J66" s="3109">
        <v>40</v>
      </c>
      <c r="K66" s="3109">
        <v>30</v>
      </c>
      <c r="L66" s="3109">
        <v>50</v>
      </c>
      <c r="M66" s="3106">
        <v>0.02</v>
      </c>
      <c r="O66" s="2400" t="s">
        <v>2352</v>
      </c>
      <c r="P66" s="2404" t="s">
        <v>2379</v>
      </c>
      <c r="Q66" s="2398">
        <f ca="1">ROUND(Q67-Q68*Q69,0)</f>
        <v>371476</v>
      </c>
      <c r="R66" s="2399"/>
    </row>
    <row r="67" spans="1:18" s="1267" customFormat="1" ht="15.75" thickBot="1">
      <c r="A67" s="555" t="s">
        <v>45</v>
      </c>
      <c r="B67" s="537" t="s">
        <v>381</v>
      </c>
      <c r="C67" s="197">
        <f ca="1">ROUND(C49*F67,0)</f>
        <v>7926</v>
      </c>
      <c r="D67" s="3122" t="s">
        <v>385</v>
      </c>
      <c r="E67" s="537" t="s">
        <v>379</v>
      </c>
      <c r="F67" s="547">
        <f t="shared" si="0"/>
        <v>0.02</v>
      </c>
      <c r="O67" s="2400" t="s">
        <v>2369</v>
      </c>
      <c r="P67" s="2406" t="s">
        <v>2380</v>
      </c>
      <c r="Q67" s="2398">
        <f ca="1">C39</f>
        <v>449234</v>
      </c>
      <c r="R67" s="2399" t="s">
        <v>2348</v>
      </c>
    </row>
    <row r="68" spans="1:18" ht="24.75" thickBot="1">
      <c r="A68" s="550" t="s">
        <v>46</v>
      </c>
      <c r="B68" s="306" t="s">
        <v>391</v>
      </c>
      <c r="C68" s="552">
        <f ca="1">C49-C59</f>
        <v>348860</v>
      </c>
      <c r="D68" s="3121" t="s">
        <v>392</v>
      </c>
      <c r="E68" s="3119"/>
      <c r="F68" s="571"/>
      <c r="H68" s="1267"/>
      <c r="I68" s="1267"/>
      <c r="J68" s="1267"/>
      <c r="K68" s="1267"/>
      <c r="L68" s="1267"/>
      <c r="M68" s="1267"/>
      <c r="O68" s="2400" t="s">
        <v>2370</v>
      </c>
      <c r="P68" s="2406" t="s">
        <v>2381</v>
      </c>
      <c r="Q68" s="2398">
        <f ca="1">C13</f>
        <v>971971</v>
      </c>
      <c r="R68" s="2399" t="s">
        <v>2348</v>
      </c>
    </row>
    <row r="69" spans="1:18" ht="15.75" thickBot="1">
      <c r="A69" s="534" t="s">
        <v>47</v>
      </c>
      <c r="B69" s="535" t="s">
        <v>393</v>
      </c>
      <c r="C69" s="536">
        <f ca="1">ROUND(C68*(1-((1+F71)/(1+F69))^F70)/(F69-F71),0)</f>
        <v>8009185</v>
      </c>
      <c r="D69" s="564" t="s">
        <v>387</v>
      </c>
      <c r="E69" s="537" t="s">
        <v>388</v>
      </c>
      <c r="F69" s="547">
        <f>F40</f>
        <v>0.05</v>
      </c>
      <c r="H69" s="1267"/>
      <c r="I69" s="1267"/>
      <c r="J69" s="1267"/>
      <c r="K69" s="1267"/>
      <c r="L69" s="1267"/>
      <c r="M69" s="1267"/>
      <c r="O69" s="2400" t="s">
        <v>2371</v>
      </c>
      <c r="P69" s="2404" t="s">
        <v>2372</v>
      </c>
      <c r="Q69" s="2401">
        <f>J35</f>
        <v>0.08</v>
      </c>
      <c r="R69" s="2399"/>
    </row>
    <row r="70" spans="1:18" ht="15.75" thickBot="1">
      <c r="A70" s="539"/>
      <c r="B70" s="540"/>
      <c r="C70" s="541"/>
      <c r="D70" s="572" t="s">
        <v>394</v>
      </c>
      <c r="E70" s="537" t="s">
        <v>395</v>
      </c>
      <c r="F70" s="573">
        <f>F41</f>
        <v>48</v>
      </c>
      <c r="H70" s="1267"/>
      <c r="I70" s="1267"/>
      <c r="J70" s="1267"/>
      <c r="K70" s="1267"/>
      <c r="L70" s="1267"/>
      <c r="M70" s="1267"/>
      <c r="O70" s="2400" t="s">
        <v>2354</v>
      </c>
      <c r="P70" s="2397" t="s">
        <v>2363</v>
      </c>
      <c r="Q70" s="2401">
        <f>L53</f>
        <v>0</v>
      </c>
      <c r="R70" s="2399"/>
    </row>
    <row r="71" spans="1:18" ht="20.25" thickBot="1">
      <c r="A71" s="543"/>
      <c r="B71" s="544"/>
      <c r="C71" s="545"/>
      <c r="D71" s="567"/>
      <c r="E71" s="537" t="s">
        <v>396</v>
      </c>
      <c r="F71" s="2385">
        <v>1.4999999999999999E-2</v>
      </c>
      <c r="H71" s="1267"/>
      <c r="M71" s="1267"/>
      <c r="O71" s="2400" t="s">
        <v>2356</v>
      </c>
      <c r="P71" s="2397" t="s">
        <v>2364</v>
      </c>
      <c r="Q71" s="2398">
        <f>L59</f>
        <v>0</v>
      </c>
      <c r="R71" s="2399" t="s">
        <v>2365</v>
      </c>
    </row>
    <row r="72" spans="1:18" ht="20.25" thickBot="1">
      <c r="A72" s="574" t="s">
        <v>48</v>
      </c>
      <c r="B72" s="575" t="s">
        <v>397</v>
      </c>
      <c r="C72" s="576">
        <f ca="1">ROUND(C69/F72,0)</f>
        <v>31352</v>
      </c>
      <c r="D72" s="577" t="s">
        <v>398</v>
      </c>
      <c r="E72" s="578" t="s">
        <v>399</v>
      </c>
      <c r="F72" s="579">
        <f>F43</f>
        <v>255.46</v>
      </c>
      <c r="O72" s="2400" t="s">
        <v>2383</v>
      </c>
      <c r="P72" s="2397" t="s">
        <v>2366</v>
      </c>
      <c r="Q72" s="2398">
        <f>L60</f>
        <v>0</v>
      </c>
      <c r="R72" s="2399" t="s">
        <v>2367</v>
      </c>
    </row>
    <row r="73" spans="1:18" ht="15.75" thickBot="1">
      <c r="A73" s="1267"/>
      <c r="B73" s="1271"/>
      <c r="C73" s="1271"/>
      <c r="D73" s="1267"/>
      <c r="E73" s="1267"/>
      <c r="F73" s="1267"/>
      <c r="O73" s="2396" t="s">
        <v>2359</v>
      </c>
      <c r="P73" s="2397" t="str">
        <f>IF(C2="元","收益价值(元)","收益价值(万元)")</f>
        <v>收益价值(万元)</v>
      </c>
      <c r="Q73" s="2398">
        <f ca="1">ROUND(IF(C2="元",Q63+Q64,(Q63+Q64)/10000),0)</f>
        <v>1125</v>
      </c>
      <c r="R73" s="2399" t="s">
        <v>2360</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208" type="noConversion"/>
  <conditionalFormatting sqref="K56">
    <cfRule type="expression" dxfId="132" priority="7">
      <formula>$L$49&gt;$J$52</formula>
    </cfRule>
  </conditionalFormatting>
  <conditionalFormatting sqref="I56">
    <cfRule type="expression" dxfId="131" priority="6">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2" sqref="B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894</v>
      </c>
      <c r="B1" s="2890" t="s">
        <v>895</v>
      </c>
      <c r="C1" s="2891" t="s">
        <v>217</v>
      </c>
      <c r="D1" s="2892"/>
      <c r="E1" s="2893" t="s">
        <v>2943</v>
      </c>
      <c r="F1" s="2894" t="s">
        <v>896</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897</v>
      </c>
      <c r="B2" s="2885">
        <f>IF(D2="——",IF(C2="元",ROUND(C49*D3,0),ROUND(C49*D3/10000,0)),IF(C2="元",ROUND(C49*D3,0),ROUND(C49*D3/10000,0))-E2)</f>
        <v>1426</v>
      </c>
      <c r="C2" s="32" t="str">
        <f>'数据-取费表'!B3</f>
        <v>万元</v>
      </c>
      <c r="D2" s="2886" t="s">
        <v>2899</v>
      </c>
      <c r="E2" s="3034" t="e">
        <f ca="1">SUMIF(INDIRECT("'"&amp;G2&amp;"'"&amp;"!A:A"),"承租人权益价值",INDIRECT("'"&amp;G2&amp;"'"&amp;"!c:c"))</f>
        <v>#REF!</v>
      </c>
      <c r="F2" s="2887" t="str">
        <f>C2</f>
        <v>万元</v>
      </c>
      <c r="G2" s="2888"/>
      <c r="H2" s="1634"/>
      <c r="I2" s="1634"/>
      <c r="J2" s="1634"/>
      <c r="K2" s="2158"/>
      <c r="L2" s="2159"/>
      <c r="M2" s="2160"/>
      <c r="N2" s="2160"/>
      <c r="O2" s="2160"/>
      <c r="P2" s="1129"/>
      <c r="Q2" s="1128"/>
      <c r="R2" s="1128"/>
      <c r="S2" s="1128"/>
      <c r="T2" s="1128"/>
      <c r="U2" s="1128"/>
      <c r="V2" s="1128"/>
      <c r="W2" s="1128"/>
      <c r="X2" s="1128"/>
      <c r="Y2" s="1128"/>
      <c r="Z2" s="1128"/>
      <c r="AA2" s="1128"/>
      <c r="AB2" s="1128"/>
      <c r="AC2" s="1130"/>
    </row>
    <row r="3" spans="1:29" s="36" customFormat="1" ht="28.5" customHeight="1" thickBot="1">
      <c r="A3" s="34" t="s">
        <v>898</v>
      </c>
      <c r="B3" s="596">
        <f>ROUND(IF(D2="——",C49,IF(C2="万元",B2*10000/D3,B2/D3)),0)</f>
        <v>55805</v>
      </c>
      <c r="C3" s="89" t="s">
        <v>899</v>
      </c>
      <c r="D3" s="596">
        <f>IF(C1="仅计算典型户型",'数据-取费表'!E5,'数据-取费表'!B5)</f>
        <v>255.46</v>
      </c>
      <c r="E3" s="1634"/>
      <c r="F3" s="2157"/>
      <c r="G3" s="1634"/>
      <c r="H3" s="1634"/>
      <c r="I3" s="1634"/>
      <c r="J3" s="1634"/>
      <c r="K3" s="2158"/>
      <c r="L3" s="2159"/>
      <c r="M3" s="2160"/>
      <c r="N3" s="2160"/>
      <c r="O3" s="2160"/>
      <c r="P3" s="2161"/>
      <c r="Q3" s="1128"/>
      <c r="R3" s="1128"/>
      <c r="S3" s="1128"/>
      <c r="T3" s="1128"/>
      <c r="U3" s="1128"/>
      <c r="V3" s="1128"/>
      <c r="W3" s="1128"/>
      <c r="X3" s="1128"/>
      <c r="Y3" s="1128"/>
      <c r="Z3" s="1128"/>
      <c r="AA3" s="1128"/>
      <c r="AB3" s="1128"/>
      <c r="AC3" s="1131"/>
    </row>
    <row r="4" spans="1:29">
      <c r="A4" s="90" t="s">
        <v>900</v>
      </c>
      <c r="B4" s="91"/>
      <c r="C4" s="3401" t="s">
        <v>901</v>
      </c>
      <c r="D4" s="3402"/>
      <c r="E4" s="3403" t="s">
        <v>902</v>
      </c>
      <c r="F4" s="3404"/>
      <c r="G4" s="3401" t="s">
        <v>903</v>
      </c>
      <c r="H4" s="3402"/>
      <c r="I4" s="3401" t="s">
        <v>904</v>
      </c>
      <c r="J4" s="3402"/>
      <c r="K4" s="92" t="s">
        <v>905</v>
      </c>
      <c r="L4" s="2162"/>
      <c r="M4" s="2163"/>
      <c r="N4" s="2163"/>
      <c r="O4" s="2163"/>
      <c r="P4" s="3405" t="s">
        <v>900</v>
      </c>
      <c r="Q4" s="3406"/>
      <c r="R4" s="3411" t="s">
        <v>902</v>
      </c>
      <c r="S4" s="3412"/>
      <c r="T4" s="3411" t="s">
        <v>903</v>
      </c>
      <c r="U4" s="3412"/>
      <c r="V4" s="3417" t="s">
        <v>904</v>
      </c>
      <c r="W4" s="3417"/>
      <c r="X4" s="1132"/>
      <c r="Y4" s="3411" t="s">
        <v>900</v>
      </c>
      <c r="Z4" s="3412"/>
      <c r="AA4" s="3398" t="s">
        <v>902</v>
      </c>
      <c r="AB4" s="3398" t="s">
        <v>903</v>
      </c>
      <c r="AC4" s="3398" t="s">
        <v>904</v>
      </c>
    </row>
    <row r="5" spans="1:29">
      <c r="A5" s="93"/>
      <c r="B5" s="94"/>
      <c r="C5" s="3420" t="s">
        <v>906</v>
      </c>
      <c r="D5" s="3421"/>
      <c r="E5" s="3418" t="s">
        <v>907</v>
      </c>
      <c r="F5" s="3419"/>
      <c r="G5" s="3420" t="s">
        <v>908</v>
      </c>
      <c r="H5" s="3421"/>
      <c r="I5" s="3420" t="s">
        <v>909</v>
      </c>
      <c r="J5" s="3421"/>
      <c r="K5" s="99"/>
      <c r="L5" s="2162"/>
      <c r="M5" s="2163"/>
      <c r="N5" s="2163"/>
      <c r="O5" s="2163"/>
      <c r="P5" s="3407"/>
      <c r="Q5" s="3408"/>
      <c r="R5" s="3413"/>
      <c r="S5" s="3414"/>
      <c r="T5" s="3413"/>
      <c r="U5" s="3414"/>
      <c r="V5" s="3417"/>
      <c r="W5" s="3417"/>
      <c r="X5" s="1132"/>
      <c r="Y5" s="3413"/>
      <c r="Z5" s="3414"/>
      <c r="AA5" s="3399"/>
      <c r="AB5" s="3399"/>
      <c r="AC5" s="3399"/>
    </row>
    <row r="6" spans="1:29" ht="14.25" thickBot="1">
      <c r="A6" s="95"/>
      <c r="B6" s="96"/>
      <c r="C6" s="3422" t="s">
        <v>910</v>
      </c>
      <c r="D6" s="3423"/>
      <c r="E6" s="3424" t="s">
        <v>910</v>
      </c>
      <c r="F6" s="3425"/>
      <c r="G6" s="3422" t="s">
        <v>910</v>
      </c>
      <c r="H6" s="3423"/>
      <c r="I6" s="3422" t="s">
        <v>910</v>
      </c>
      <c r="J6" s="3423"/>
      <c r="K6" s="99" t="s">
        <v>911</v>
      </c>
      <c r="L6" s="2162"/>
      <c r="M6" s="2163"/>
      <c r="N6" s="2163"/>
      <c r="O6" s="2163"/>
      <c r="P6" s="3409"/>
      <c r="Q6" s="3410"/>
      <c r="R6" s="3413"/>
      <c r="S6" s="3414"/>
      <c r="T6" s="3415"/>
      <c r="U6" s="3416"/>
      <c r="V6" s="3417"/>
      <c r="W6" s="3417"/>
      <c r="X6" s="1132"/>
      <c r="Y6" s="3415"/>
      <c r="Z6" s="3416"/>
      <c r="AA6" s="3400"/>
      <c r="AB6" s="3400"/>
      <c r="AC6" s="3400"/>
    </row>
    <row r="7" spans="1:29" s="11" customFormat="1" ht="15" thickBot="1">
      <c r="A7" s="872" t="s">
        <v>912</v>
      </c>
      <c r="B7" s="873"/>
      <c r="C7" s="874">
        <f>'数据-取费表'!B2</f>
        <v>42998</v>
      </c>
      <c r="D7" s="608">
        <v>100</v>
      </c>
      <c r="E7" s="875">
        <v>42998</v>
      </c>
      <c r="F7" s="610">
        <f>SUMIF(58:58,YEAR(E7)&amp;"-"&amp;MONTH(E7),59:59)</f>
        <v>100</v>
      </c>
      <c r="G7" s="875">
        <v>42998</v>
      </c>
      <c r="H7" s="608">
        <f>SUMIF(58:58,YEAR(G7)&amp;"-"&amp;MONTH(G7),59:59)</f>
        <v>100</v>
      </c>
      <c r="I7" s="875">
        <v>42998</v>
      </c>
      <c r="J7" s="608">
        <f>SUMIF(58:58,YEAR(I7)&amp;"-"&amp;MONTH(I7),59:59)</f>
        <v>100</v>
      </c>
      <c r="K7" s="1133"/>
      <c r="L7" s="2164"/>
      <c r="M7" s="2106"/>
      <c r="N7" s="2106"/>
      <c r="O7" s="2106"/>
      <c r="P7" s="3433" t="s">
        <v>912</v>
      </c>
      <c r="Q7" s="3435"/>
      <c r="R7" s="1134" t="s">
        <v>117</v>
      </c>
      <c r="S7" s="1135">
        <f t="shared" ref="S7:S15" si="0">F7</f>
        <v>100</v>
      </c>
      <c r="T7" s="1134" t="s">
        <v>117</v>
      </c>
      <c r="U7" s="1135">
        <f t="shared" ref="U7:U15" si="1">H7</f>
        <v>100</v>
      </c>
      <c r="V7" s="1134" t="s">
        <v>117</v>
      </c>
      <c r="W7" s="1135">
        <f t="shared" ref="W7:W15" si="2">J7</f>
        <v>100</v>
      </c>
      <c r="X7" s="184"/>
      <c r="Y7" s="3433" t="s">
        <v>912</v>
      </c>
      <c r="Z7" s="3434"/>
      <c r="AA7" s="1136">
        <f>D7/F7</f>
        <v>1</v>
      </c>
      <c r="AB7" s="1136">
        <f>D7/H7</f>
        <v>1</v>
      </c>
      <c r="AC7" s="1136">
        <f>D7/J7</f>
        <v>1</v>
      </c>
    </row>
    <row r="8" spans="1:29" s="11" customFormat="1" ht="15" thickBot="1">
      <c r="A8" s="872" t="s">
        <v>913</v>
      </c>
      <c r="B8" s="873"/>
      <c r="C8" s="878" t="s">
        <v>914</v>
      </c>
      <c r="D8" s="608">
        <v>100</v>
      </c>
      <c r="E8" s="1137" t="s">
        <v>2939</v>
      </c>
      <c r="F8" s="610">
        <f>SUMIF(61:61,E8,62:62)-SUMIF(61:61,C8,62:62)+100</f>
        <v>100</v>
      </c>
      <c r="G8" s="878" t="s">
        <v>2939</v>
      </c>
      <c r="H8" s="608">
        <f>SUMIF(61:61,G8,62:62)-SUMIF(61:61,C8,62:62)+100</f>
        <v>100</v>
      </c>
      <c r="I8" s="1137" t="s">
        <v>2939</v>
      </c>
      <c r="J8" s="608">
        <f>SUMIF(61:61,I8,62:62)-SUMIF(61:61,C8,62:62)+100</f>
        <v>100</v>
      </c>
      <c r="K8" s="1133"/>
      <c r="L8" s="2164"/>
      <c r="M8" s="2106"/>
      <c r="N8" s="2106"/>
      <c r="O8" s="2106"/>
      <c r="P8" s="3433" t="s">
        <v>913</v>
      </c>
      <c r="Q8" s="3434"/>
      <c r="R8" s="1134" t="s">
        <v>117</v>
      </c>
      <c r="S8" s="1135">
        <f t="shared" si="0"/>
        <v>100</v>
      </c>
      <c r="T8" s="1134" t="s">
        <v>117</v>
      </c>
      <c r="U8" s="1135">
        <f t="shared" si="1"/>
        <v>100</v>
      </c>
      <c r="V8" s="1134" t="s">
        <v>117</v>
      </c>
      <c r="W8" s="1135">
        <f t="shared" si="2"/>
        <v>100</v>
      </c>
      <c r="X8" s="184"/>
      <c r="Y8" s="3433" t="s">
        <v>913</v>
      </c>
      <c r="Z8" s="3434"/>
      <c r="AA8" s="1136">
        <f t="shared" ref="AA8:AA46" si="3">D8/F8</f>
        <v>1</v>
      </c>
      <c r="AB8" s="1136">
        <f t="shared" ref="AB8:AB46" si="4">D8/H8</f>
        <v>1</v>
      </c>
      <c r="AC8" s="1136">
        <f t="shared" ref="AC8:AC46" si="5">D8/J8</f>
        <v>1</v>
      </c>
    </row>
    <row r="9" spans="1:29" s="11" customFormat="1" ht="14.25">
      <c r="A9" s="879" t="s">
        <v>915</v>
      </c>
      <c r="B9" s="20" t="s">
        <v>916</v>
      </c>
      <c r="C9" s="1138"/>
      <c r="D9" s="234">
        <v>100</v>
      </c>
      <c r="E9" s="1139"/>
      <c r="F9" s="616">
        <f>SUMIF(63:63,E9,64:64)-SUMIF(63:63,C9,64:64)+100</f>
        <v>100</v>
      </c>
      <c r="G9" s="1140"/>
      <c r="H9" s="234">
        <f>SUMIF(63:63,G9,64:64)-SUMIF(63:63,C9,64:64)+100</f>
        <v>100</v>
      </c>
      <c r="I9" s="1140"/>
      <c r="J9" s="234">
        <f>SUMIF(63:63,I9,64:64)-SUMIF(63:63,C9,64:64)+100</f>
        <v>100</v>
      </c>
      <c r="K9" s="1133"/>
      <c r="L9" s="2164"/>
      <c r="M9" s="2106"/>
      <c r="N9" s="2106"/>
      <c r="O9" s="2106"/>
      <c r="P9" s="3436"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624"/>
      <c r="L10" s="2165"/>
      <c r="M10" s="2166"/>
      <c r="N10" s="2166"/>
      <c r="O10" s="2166"/>
      <c r="P10" s="3436"/>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v>3</v>
      </c>
      <c r="D11" s="235">
        <v>100</v>
      </c>
      <c r="E11" s="628">
        <v>3</v>
      </c>
      <c r="F11" s="623">
        <f>LOOKUP(E11,68:68,69:69)-LOOKUP(C11,68:68,69:69)+100</f>
        <v>100</v>
      </c>
      <c r="G11" s="627">
        <v>3</v>
      </c>
      <c r="H11" s="235">
        <f>LOOKUP(G11,68:68,69:69)-LOOKUP(C11,68:68,69:69)+100</f>
        <v>100</v>
      </c>
      <c r="I11" s="627">
        <v>3</v>
      </c>
      <c r="J11" s="235">
        <f>LOOKUP(I11,68:68,69:69)-LOOKUP(C11,68:68,69:69)+100</f>
        <v>100</v>
      </c>
      <c r="K11" s="624"/>
      <c r="L11" s="2167"/>
      <c r="M11" s="2163"/>
      <c r="N11" s="2163"/>
      <c r="O11" s="2163"/>
      <c r="P11" s="3436"/>
      <c r="Q11" s="2" t="str">
        <f t="shared" si="6"/>
        <v>容积率</v>
      </c>
      <c r="R11" s="1134" t="s">
        <v>99</v>
      </c>
      <c r="S11" s="1135">
        <f t="shared" si="0"/>
        <v>100</v>
      </c>
      <c r="T11" s="1134" t="s">
        <v>99</v>
      </c>
      <c r="U11" s="1135">
        <f t="shared" si="1"/>
        <v>100</v>
      </c>
      <c r="V11" s="1134" t="s">
        <v>99</v>
      </c>
      <c r="W11" s="1135">
        <f t="shared" si="2"/>
        <v>100</v>
      </c>
      <c r="X11" s="184"/>
      <c r="Y11" s="3243"/>
      <c r="Z11" s="185" t="str">
        <f t="shared" si="7"/>
        <v>容积率</v>
      </c>
      <c r="AA11" s="1136">
        <f t="shared" si="3"/>
        <v>1</v>
      </c>
      <c r="AB11" s="1136">
        <f t="shared" si="4"/>
        <v>1</v>
      </c>
      <c r="AC11" s="1136">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36"/>
      <c r="Q12" s="2">
        <f t="shared" si="6"/>
        <v>111</v>
      </c>
      <c r="R12" s="1134" t="s">
        <v>99</v>
      </c>
      <c r="S12" s="1135">
        <f t="shared" si="0"/>
        <v>100</v>
      </c>
      <c r="T12" s="1134" t="s">
        <v>99</v>
      </c>
      <c r="U12" s="1135">
        <f t="shared" si="1"/>
        <v>100</v>
      </c>
      <c r="V12" s="1134" t="s">
        <v>99</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36"/>
      <c r="Q13" s="2">
        <f t="shared" si="6"/>
        <v>111</v>
      </c>
      <c r="R13" s="1134" t="s">
        <v>99</v>
      </c>
      <c r="S13" s="1135">
        <f t="shared" si="0"/>
        <v>100</v>
      </c>
      <c r="T13" s="1134" t="s">
        <v>99</v>
      </c>
      <c r="U13" s="1135">
        <f t="shared" si="1"/>
        <v>100</v>
      </c>
      <c r="V13" s="1134" t="s">
        <v>99</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36"/>
      <c r="Q14" s="2">
        <f t="shared" si="6"/>
        <v>111</v>
      </c>
      <c r="R14" s="1134" t="s">
        <v>99</v>
      </c>
      <c r="S14" s="1135">
        <f t="shared" si="0"/>
        <v>100</v>
      </c>
      <c r="T14" s="1134" t="s">
        <v>99</v>
      </c>
      <c r="U14" s="1135">
        <f t="shared" si="1"/>
        <v>100</v>
      </c>
      <c r="V14" s="1134" t="s">
        <v>99</v>
      </c>
      <c r="W14" s="1135">
        <f t="shared" si="2"/>
        <v>100</v>
      </c>
      <c r="X14" s="184"/>
      <c r="Y14" s="3243"/>
      <c r="Z14" s="185">
        <f t="shared" si="7"/>
        <v>111</v>
      </c>
      <c r="AA14" s="1136">
        <f t="shared" si="3"/>
        <v>1</v>
      </c>
      <c r="AB14" s="1136">
        <f t="shared" si="4"/>
        <v>1</v>
      </c>
      <c r="AC14" s="1136">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39" t="s">
        <v>65</v>
      </c>
      <c r="Q15" s="1144" t="str">
        <f t="shared" si="6"/>
        <v>居住社区成熟度</v>
      </c>
      <c r="R15" s="1145" t="s">
        <v>99</v>
      </c>
      <c r="S15" s="1146">
        <f t="shared" si="0"/>
        <v>100</v>
      </c>
      <c r="T15" s="1145" t="s">
        <v>99</v>
      </c>
      <c r="U15" s="1146">
        <f t="shared" si="1"/>
        <v>100</v>
      </c>
      <c r="V15" s="1145" t="s">
        <v>99</v>
      </c>
      <c r="W15" s="1146">
        <f t="shared" si="2"/>
        <v>100</v>
      </c>
      <c r="X15" s="1132"/>
      <c r="Y15" s="3426" t="s">
        <v>65</v>
      </c>
      <c r="Z15" s="1147" t="str">
        <f t="shared" si="7"/>
        <v>居住社区成熟度</v>
      </c>
      <c r="AA15" s="1148">
        <f t="shared" si="3"/>
        <v>1</v>
      </c>
      <c r="AB15" s="1148">
        <f t="shared" si="4"/>
        <v>1</v>
      </c>
      <c r="AC15" s="1148">
        <f t="shared" si="5"/>
        <v>1</v>
      </c>
    </row>
    <row r="16" spans="1:29" ht="14.25">
      <c r="A16" s="98"/>
      <c r="B16" s="106"/>
      <c r="C16" s="44"/>
      <c r="D16" s="645"/>
      <c r="E16" s="45"/>
      <c r="F16" s="647"/>
      <c r="G16" s="46"/>
      <c r="H16" s="648"/>
      <c r="I16" s="45"/>
      <c r="J16" s="645"/>
      <c r="K16" s="109"/>
      <c r="L16" s="2168"/>
      <c r="M16" s="2163"/>
      <c r="N16" s="2163"/>
      <c r="O16" s="2163"/>
      <c r="P16" s="3440"/>
      <c r="Q16" s="1144"/>
      <c r="R16" s="1145"/>
      <c r="S16" s="1146"/>
      <c r="T16" s="1145"/>
      <c r="U16" s="1146"/>
      <c r="V16" s="1145"/>
      <c r="W16" s="1146"/>
      <c r="X16" s="1132"/>
      <c r="Y16" s="3427"/>
      <c r="Z16" s="1147"/>
      <c r="AA16" s="1148">
        <v>1</v>
      </c>
      <c r="AB16" s="1148">
        <v>1</v>
      </c>
      <c r="AC16" s="1148">
        <v>1</v>
      </c>
    </row>
    <row r="17" spans="1:29" ht="81">
      <c r="A17" s="98"/>
      <c r="B17" s="1149"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40"/>
      <c r="Q17" s="1144" t="str">
        <f>B17</f>
        <v>交通便捷度</v>
      </c>
      <c r="R17" s="1145" t="s">
        <v>99</v>
      </c>
      <c r="S17" s="1146">
        <f>F17</f>
        <v>100</v>
      </c>
      <c r="T17" s="1145" t="s">
        <v>99</v>
      </c>
      <c r="U17" s="1146">
        <f>H17</f>
        <v>100</v>
      </c>
      <c r="V17" s="1145" t="s">
        <v>99</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09"/>
      <c r="L18" s="2168"/>
      <c r="M18" s="2163"/>
      <c r="N18" s="2163"/>
      <c r="O18" s="2163"/>
      <c r="P18" s="3440"/>
      <c r="Q18" s="1144"/>
      <c r="R18" s="1145"/>
      <c r="S18" s="1146"/>
      <c r="T18" s="1145"/>
      <c r="U18" s="1146"/>
      <c r="V18" s="1145"/>
      <c r="W18" s="1146"/>
      <c r="X18" s="1132"/>
      <c r="Y18" s="3427"/>
      <c r="Z18" s="1147"/>
      <c r="AA18" s="1148">
        <v>1</v>
      </c>
      <c r="AB18" s="1148">
        <v>1</v>
      </c>
      <c r="AC18" s="1148">
        <v>1</v>
      </c>
    </row>
    <row r="19" spans="1:29" ht="40.5">
      <c r="A19" s="98"/>
      <c r="B19" s="1149" t="s">
        <v>2536</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40"/>
      <c r="Q19" s="1144" t="str">
        <f>B19</f>
        <v>公共配套设施</v>
      </c>
      <c r="R19" s="1145" t="s">
        <v>99</v>
      </c>
      <c r="S19" s="1146">
        <f>F19</f>
        <v>100</v>
      </c>
      <c r="T19" s="1145" t="s">
        <v>99</v>
      </c>
      <c r="U19" s="1146">
        <f>H19</f>
        <v>100</v>
      </c>
      <c r="V19" s="1145" t="s">
        <v>99</v>
      </c>
      <c r="W19" s="1146">
        <f>J19</f>
        <v>100</v>
      </c>
      <c r="X19" s="1132"/>
      <c r="Y19" s="3427"/>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09"/>
      <c r="L20" s="2168"/>
      <c r="M20" s="2163"/>
      <c r="N20" s="2163"/>
      <c r="O20" s="2163"/>
      <c r="P20" s="3440"/>
      <c r="Q20" s="1144"/>
      <c r="R20" s="1145"/>
      <c r="S20" s="1146"/>
      <c r="T20" s="1145"/>
      <c r="U20" s="1146"/>
      <c r="V20" s="1145"/>
      <c r="W20" s="1146"/>
      <c r="X20" s="1132"/>
      <c r="Y20" s="3427"/>
      <c r="Z20" s="1147"/>
      <c r="AA20" s="1148">
        <v>1</v>
      </c>
      <c r="AB20" s="1148">
        <v>1</v>
      </c>
      <c r="AC20" s="1148">
        <v>1</v>
      </c>
    </row>
    <row r="21" spans="1:29" ht="27">
      <c r="A21" s="98"/>
      <c r="B21" s="1204" t="s">
        <v>2537</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40"/>
      <c r="Q21" s="2548" t="str">
        <f>B21</f>
        <v>基础设施水平</v>
      </c>
      <c r="R21" s="1145" t="s">
        <v>99</v>
      </c>
      <c r="S21" s="1146">
        <f>F21</f>
        <v>100</v>
      </c>
      <c r="T21" s="1145" t="s">
        <v>99</v>
      </c>
      <c r="U21" s="1146">
        <f>H21</f>
        <v>100</v>
      </c>
      <c r="V21" s="1145" t="s">
        <v>99</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7"/>
      <c r="L22" s="2168"/>
      <c r="M22" s="2163"/>
      <c r="N22" s="2163"/>
      <c r="O22" s="2163"/>
      <c r="P22" s="3440"/>
      <c r="Q22" s="2548"/>
      <c r="R22" s="1145"/>
      <c r="S22" s="1146"/>
      <c r="T22" s="1145"/>
      <c r="U22" s="1146"/>
      <c r="V22" s="1145"/>
      <c r="W22" s="1146"/>
      <c r="X22" s="2546"/>
      <c r="Y22" s="3427"/>
      <c r="Z22" s="2547"/>
      <c r="AA22" s="1148">
        <v>1</v>
      </c>
      <c r="AB22" s="1148">
        <v>1</v>
      </c>
      <c r="AC22" s="1148">
        <v>1</v>
      </c>
    </row>
    <row r="23" spans="1:29" ht="54">
      <c r="A23" s="98"/>
      <c r="B23" s="1149"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40"/>
      <c r="Q23" s="1144" t="str">
        <f>B23</f>
        <v>自然及人文环境</v>
      </c>
      <c r="R23" s="1145" t="s">
        <v>99</v>
      </c>
      <c r="S23" s="1146">
        <f>F23</f>
        <v>100</v>
      </c>
      <c r="T23" s="1145" t="s">
        <v>99</v>
      </c>
      <c r="U23" s="1146">
        <f>H23</f>
        <v>100</v>
      </c>
      <c r="V23" s="1145" t="s">
        <v>99</v>
      </c>
      <c r="W23" s="1146">
        <f>J23</f>
        <v>100</v>
      </c>
      <c r="X23" s="1132"/>
      <c r="Y23" s="3427"/>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09"/>
      <c r="L24" s="2168"/>
      <c r="M24" s="2163"/>
      <c r="N24" s="2163"/>
      <c r="O24" s="2163"/>
      <c r="P24" s="3440"/>
      <c r="Q24" s="1144"/>
      <c r="R24" s="1145"/>
      <c r="S24" s="1146"/>
      <c r="T24" s="1145"/>
      <c r="U24" s="1146"/>
      <c r="V24" s="1145"/>
      <c r="W24" s="1146"/>
      <c r="X24" s="1132"/>
      <c r="Y24" s="3427"/>
      <c r="Z24" s="1147"/>
      <c r="AA24" s="1148">
        <v>1</v>
      </c>
      <c r="AB24" s="1148">
        <v>1</v>
      </c>
      <c r="AC24" s="1148">
        <v>1</v>
      </c>
    </row>
    <row r="25" spans="1:29" ht="15">
      <c r="A25" s="98"/>
      <c r="B25" s="4" t="s">
        <v>2195</v>
      </c>
      <c r="C25" s="54">
        <v>10</v>
      </c>
      <c r="D25" s="633">
        <v>100</v>
      </c>
      <c r="E25" s="55">
        <v>5</v>
      </c>
      <c r="F25" s="660">
        <f>SUMIF(86:86,E25,87:87)-SUMIF(86:86,C25,87:87)+100</f>
        <v>95</v>
      </c>
      <c r="G25" s="56">
        <v>9</v>
      </c>
      <c r="H25" s="633">
        <f>SUMIF(86:86,G25,87:87)-SUMIF(86:86,C25,87:87)+100</f>
        <v>99</v>
      </c>
      <c r="I25" s="55">
        <v>3</v>
      </c>
      <c r="J25" s="633">
        <f>SUMIF(86:86,I25,87:87)-SUMIF(86:86,C25,87:87)+100</f>
        <v>93</v>
      </c>
      <c r="K25" s="624">
        <v>1</v>
      </c>
      <c r="L25" s="2168"/>
      <c r="M25" s="2163"/>
      <c r="N25" s="2163"/>
      <c r="O25" s="2163"/>
      <c r="P25" s="3440"/>
      <c r="Q25" s="1144" t="str">
        <f t="shared" ref="Q25:Q46" si="11">B25</f>
        <v>楼层-1</v>
      </c>
      <c r="R25" s="1145" t="s">
        <v>99</v>
      </c>
      <c r="S25" s="1146">
        <f>F25</f>
        <v>95</v>
      </c>
      <c r="T25" s="1145" t="s">
        <v>99</v>
      </c>
      <c r="U25" s="1146">
        <f>H25</f>
        <v>99</v>
      </c>
      <c r="V25" s="1145" t="s">
        <v>99</v>
      </c>
      <c r="W25" s="1146">
        <f>J25</f>
        <v>93</v>
      </c>
      <c r="X25" s="1132"/>
      <c r="Y25" s="3427"/>
      <c r="Z25" s="1147" t="str">
        <f>Q25</f>
        <v>楼层-1</v>
      </c>
      <c r="AA25" s="1148">
        <f t="shared" si="3"/>
        <v>1.0526315789473684</v>
      </c>
      <c r="AB25" s="1148">
        <f t="shared" si="4"/>
        <v>1.0101010101010102</v>
      </c>
      <c r="AC25" s="1148">
        <f t="shared" si="5"/>
        <v>1.075268817204301</v>
      </c>
    </row>
    <row r="26" spans="1:29" ht="15">
      <c r="A26" s="98"/>
      <c r="B26" s="4" t="s">
        <v>69</v>
      </c>
      <c r="C26" s="54" t="s">
        <v>2944</v>
      </c>
      <c r="D26" s="633">
        <v>100</v>
      </c>
      <c r="E26" s="55" t="s">
        <v>2944</v>
      </c>
      <c r="F26" s="660">
        <f>SUMIF(88:88,E26,89:89)-SUMIF(88:88,C26,89:89)+100</f>
        <v>100</v>
      </c>
      <c r="G26" s="56" t="s">
        <v>2944</v>
      </c>
      <c r="H26" s="633">
        <f>SUMIF(88:88,G26,89:89)-SUMIF(88:88,C26,89:89)+100</f>
        <v>100</v>
      </c>
      <c r="I26" s="55" t="s">
        <v>2944</v>
      </c>
      <c r="J26" s="633">
        <f>SUMIF(88:88,I26,89:89)-SUMIF(88:88,C26,89:89)+100</f>
        <v>100</v>
      </c>
      <c r="K26" s="624">
        <v>1</v>
      </c>
      <c r="L26" s="2168"/>
      <c r="M26" s="2163"/>
      <c r="N26" s="2163"/>
      <c r="O26" s="2163"/>
      <c r="P26" s="3440"/>
      <c r="Q26" s="1144" t="str">
        <f t="shared" si="11"/>
        <v>朝向</v>
      </c>
      <c r="R26" s="1145" t="s">
        <v>99</v>
      </c>
      <c r="S26" s="1146">
        <f>F26</f>
        <v>100</v>
      </c>
      <c r="T26" s="1145" t="s">
        <v>99</v>
      </c>
      <c r="U26" s="1146">
        <f>H26</f>
        <v>100</v>
      </c>
      <c r="V26" s="1145" t="s">
        <v>99</v>
      </c>
      <c r="W26" s="1146">
        <f>J26</f>
        <v>100</v>
      </c>
      <c r="X26" s="1132"/>
      <c r="Y26" s="3427"/>
      <c r="Z26" s="1147" t="str">
        <f>Q26</f>
        <v>朝向</v>
      </c>
      <c r="AA26" s="1148">
        <f t="shared" si="3"/>
        <v>1</v>
      </c>
      <c r="AB26" s="1148">
        <f t="shared" si="4"/>
        <v>1</v>
      </c>
      <c r="AC26" s="1148">
        <f t="shared" si="5"/>
        <v>1</v>
      </c>
    </row>
    <row r="27" spans="1:29" s="11" customFormat="1" ht="14.25">
      <c r="A27" s="888"/>
      <c r="B27" s="889" t="s">
        <v>917</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40"/>
      <c r="Q27" s="2" t="str">
        <f t="shared" si="11"/>
        <v>道路级别</v>
      </c>
      <c r="R27" s="1134" t="s">
        <v>99</v>
      </c>
      <c r="S27" s="1135">
        <f>F27</f>
        <v>100</v>
      </c>
      <c r="T27" s="1134" t="s">
        <v>99</v>
      </c>
      <c r="U27" s="1135">
        <f>H27</f>
        <v>100</v>
      </c>
      <c r="V27" s="1134" t="s">
        <v>99</v>
      </c>
      <c r="W27" s="1135">
        <f>J27</f>
        <v>100</v>
      </c>
      <c r="X27" s="184"/>
      <c r="Y27" s="3427"/>
      <c r="Z27" s="185" t="str">
        <f>Q27</f>
        <v>道路级别</v>
      </c>
      <c r="AA27" s="1148">
        <f>D27/F27</f>
        <v>1</v>
      </c>
      <c r="AB27" s="1148">
        <f>D27/H27</f>
        <v>1</v>
      </c>
      <c r="AC27" s="1148">
        <f>D27/J27</f>
        <v>1</v>
      </c>
    </row>
    <row r="28" spans="1:29" ht="14.25">
      <c r="A28" s="98"/>
      <c r="B28" s="1150">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40"/>
      <c r="Q28" s="1144">
        <f t="shared" si="11"/>
        <v>111</v>
      </c>
      <c r="R28" s="1145" t="s">
        <v>99</v>
      </c>
      <c r="S28" s="1146">
        <f t="shared" ref="S28:S46" si="12">F28</f>
        <v>100</v>
      </c>
      <c r="T28" s="1145" t="s">
        <v>99</v>
      </c>
      <c r="U28" s="1146">
        <f t="shared" ref="U28:U46" si="13">H28</f>
        <v>100</v>
      </c>
      <c r="V28" s="1145" t="s">
        <v>99</v>
      </c>
      <c r="W28" s="1146">
        <f t="shared" ref="W28:W46" si="14">J28</f>
        <v>100</v>
      </c>
      <c r="X28" s="1132"/>
      <c r="Y28" s="3427"/>
      <c r="Z28" s="1147">
        <f t="shared" ref="Z28:Z46" si="15">Q28</f>
        <v>111</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40"/>
      <c r="Q29" s="1144">
        <f t="shared" si="11"/>
        <v>111</v>
      </c>
      <c r="R29" s="1145" t="s">
        <v>99</v>
      </c>
      <c r="S29" s="1146">
        <f t="shared" si="12"/>
        <v>100</v>
      </c>
      <c r="T29" s="1145" t="s">
        <v>99</v>
      </c>
      <c r="U29" s="1146">
        <f t="shared" si="13"/>
        <v>100</v>
      </c>
      <c r="V29" s="1145" t="s">
        <v>99</v>
      </c>
      <c r="W29" s="1146">
        <f t="shared" si="14"/>
        <v>100</v>
      </c>
      <c r="X29" s="1132"/>
      <c r="Y29" s="3427"/>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40"/>
      <c r="Q30" s="1144">
        <f t="shared" si="11"/>
        <v>111</v>
      </c>
      <c r="R30" s="1145" t="s">
        <v>99</v>
      </c>
      <c r="S30" s="1146">
        <f t="shared" si="12"/>
        <v>100</v>
      </c>
      <c r="T30" s="1145" t="s">
        <v>99</v>
      </c>
      <c r="U30" s="1146">
        <f t="shared" si="13"/>
        <v>100</v>
      </c>
      <c r="V30" s="1145" t="s">
        <v>99</v>
      </c>
      <c r="W30" s="1146">
        <f t="shared" si="14"/>
        <v>100</v>
      </c>
      <c r="X30" s="1132"/>
      <c r="Y30" s="3427"/>
      <c r="Z30" s="1147">
        <f t="shared" si="15"/>
        <v>111</v>
      </c>
      <c r="AA30" s="1148">
        <f t="shared" si="3"/>
        <v>1</v>
      </c>
      <c r="AB30" s="1148">
        <f t="shared" si="4"/>
        <v>1</v>
      </c>
      <c r="AC30" s="1148">
        <f t="shared" si="5"/>
        <v>1</v>
      </c>
    </row>
    <row r="31" spans="1:29" ht="15" thickBot="1">
      <c r="A31" s="101"/>
      <c r="B31" s="1150">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40"/>
      <c r="Q31" s="1144">
        <f t="shared" si="11"/>
        <v>111</v>
      </c>
      <c r="R31" s="1145" t="s">
        <v>99</v>
      </c>
      <c r="S31" s="1146">
        <f t="shared" si="12"/>
        <v>100</v>
      </c>
      <c r="T31" s="1145" t="s">
        <v>99</v>
      </c>
      <c r="U31" s="1146">
        <f t="shared" si="13"/>
        <v>100</v>
      </c>
      <c r="V31" s="1145" t="s">
        <v>99</v>
      </c>
      <c r="W31" s="1146">
        <f t="shared" si="14"/>
        <v>100</v>
      </c>
      <c r="X31" s="1132"/>
      <c r="Y31" s="3427"/>
      <c r="Z31" s="1147">
        <f t="shared" si="15"/>
        <v>111</v>
      </c>
      <c r="AA31" s="1148">
        <f t="shared" si="3"/>
        <v>1</v>
      </c>
      <c r="AB31" s="1148">
        <f t="shared" si="4"/>
        <v>1</v>
      </c>
      <c r="AC31" s="1148">
        <f t="shared" si="5"/>
        <v>1</v>
      </c>
    </row>
    <row r="32" spans="1:29" ht="15">
      <c r="A32" s="105" t="s">
        <v>918</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28" t="s">
        <v>66</v>
      </c>
      <c r="Q32" s="1144" t="str">
        <f t="shared" si="11"/>
        <v>建筑类型</v>
      </c>
      <c r="R32" s="1145" t="s">
        <v>99</v>
      </c>
      <c r="S32" s="1146">
        <f t="shared" si="12"/>
        <v>100</v>
      </c>
      <c r="T32" s="1145" t="s">
        <v>99</v>
      </c>
      <c r="U32" s="1146">
        <f t="shared" si="13"/>
        <v>100</v>
      </c>
      <c r="V32" s="1145" t="s">
        <v>99</v>
      </c>
      <c r="W32" s="1146">
        <f t="shared" si="14"/>
        <v>100</v>
      </c>
      <c r="X32" s="1132"/>
      <c r="Y32" s="3431" t="s">
        <v>66</v>
      </c>
      <c r="Z32" s="1147" t="str">
        <f t="shared" si="15"/>
        <v>建筑类型</v>
      </c>
      <c r="AA32" s="1148">
        <f t="shared" si="3"/>
        <v>1</v>
      </c>
      <c r="AB32" s="1148">
        <f t="shared" si="4"/>
        <v>1</v>
      </c>
      <c r="AC32" s="1148">
        <f t="shared" si="5"/>
        <v>1</v>
      </c>
    </row>
    <row r="33" spans="1:29" s="898" customFormat="1" ht="14.25">
      <c r="A33" s="902"/>
      <c r="B33" s="4" t="s">
        <v>71</v>
      </c>
      <c r="C33" s="668">
        <f>'数据-取费表'!B5</f>
        <v>255.46</v>
      </c>
      <c r="D33" s="883">
        <v>100</v>
      </c>
      <c r="E33" s="628">
        <f>案例!G3</f>
        <v>230</v>
      </c>
      <c r="F33" s="1143">
        <f>LOOKUP(E33,103:103,104:104)-LOOKUP(C33,103:103,104:104)+100</f>
        <v>100</v>
      </c>
      <c r="G33" s="627">
        <f>案例!G4</f>
        <v>240</v>
      </c>
      <c r="H33" s="883">
        <f>LOOKUP(G33,103:103,104:104)-LOOKUP(C33,103:103,104:104)+100</f>
        <v>100</v>
      </c>
      <c r="I33" s="628">
        <f>案例!G5</f>
        <v>260</v>
      </c>
      <c r="J33" s="883">
        <f>LOOKUP(I33,103:103,104:104)-LOOKUP(C33,103:103,104:104)+100</f>
        <v>100</v>
      </c>
      <c r="K33" s="100"/>
      <c r="L33" s="2167"/>
      <c r="M33" s="2169"/>
      <c r="N33" s="2169"/>
      <c r="O33" s="2169"/>
      <c r="P33" s="3429"/>
      <c r="Q33" s="1152" t="str">
        <f t="shared" si="11"/>
        <v>项目建筑规模</v>
      </c>
      <c r="R33" s="1153" t="s">
        <v>99</v>
      </c>
      <c r="S33" s="1154">
        <f t="shared" si="12"/>
        <v>100</v>
      </c>
      <c r="T33" s="1153" t="s">
        <v>99</v>
      </c>
      <c r="U33" s="1154">
        <f t="shared" si="13"/>
        <v>100</v>
      </c>
      <c r="V33" s="1153" t="s">
        <v>99</v>
      </c>
      <c r="W33" s="1154">
        <f t="shared" si="14"/>
        <v>100</v>
      </c>
      <c r="X33" s="1155"/>
      <c r="Y33" s="3431"/>
      <c r="Z33" s="1156" t="str">
        <f t="shared" si="15"/>
        <v>项目建筑规模</v>
      </c>
      <c r="AA33" s="1148">
        <f t="shared" si="3"/>
        <v>1</v>
      </c>
      <c r="AB33" s="1148">
        <f t="shared" si="4"/>
        <v>1</v>
      </c>
      <c r="AC33" s="1148">
        <f t="shared" si="5"/>
        <v>1</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29"/>
      <c r="Q34" s="1144" t="str">
        <f t="shared" si="11"/>
        <v>建筑结构</v>
      </c>
      <c r="R34" s="1145" t="s">
        <v>99</v>
      </c>
      <c r="S34" s="1146">
        <f t="shared" si="12"/>
        <v>100</v>
      </c>
      <c r="T34" s="1145" t="s">
        <v>99</v>
      </c>
      <c r="U34" s="1146">
        <f t="shared" si="13"/>
        <v>100</v>
      </c>
      <c r="V34" s="1145" t="s">
        <v>99</v>
      </c>
      <c r="W34" s="1146">
        <f t="shared" si="14"/>
        <v>100</v>
      </c>
      <c r="X34" s="1132"/>
      <c r="Y34" s="3431"/>
      <c r="Z34" s="1147" t="str">
        <f t="shared" si="15"/>
        <v>建筑结构</v>
      </c>
      <c r="AA34" s="1148">
        <f t="shared" si="3"/>
        <v>1</v>
      </c>
      <c r="AB34" s="1148">
        <f t="shared" si="4"/>
        <v>1</v>
      </c>
      <c r="AC34" s="1148">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29"/>
      <c r="Q35" s="1144" t="str">
        <f t="shared" si="11"/>
        <v>建筑品质</v>
      </c>
      <c r="R35" s="1145" t="s">
        <v>99</v>
      </c>
      <c r="S35" s="1146">
        <f t="shared" si="12"/>
        <v>100</v>
      </c>
      <c r="T35" s="1145" t="s">
        <v>99</v>
      </c>
      <c r="U35" s="1146">
        <f t="shared" si="13"/>
        <v>100</v>
      </c>
      <c r="V35" s="1145" t="s">
        <v>99</v>
      </c>
      <c r="W35" s="1146">
        <f t="shared" si="14"/>
        <v>100</v>
      </c>
      <c r="X35" s="1132"/>
      <c r="Y35" s="3431"/>
      <c r="Z35" s="1147" t="str">
        <f t="shared" si="15"/>
        <v>建筑品质</v>
      </c>
      <c r="AA35" s="1148">
        <f t="shared" si="3"/>
        <v>1</v>
      </c>
      <c r="AB35" s="1148">
        <f t="shared" si="4"/>
        <v>1</v>
      </c>
      <c r="AC35" s="1148">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29"/>
      <c r="Q36" s="1144" t="str">
        <f t="shared" si="11"/>
        <v>公共部分装修</v>
      </c>
      <c r="R36" s="1145" t="s">
        <v>99</v>
      </c>
      <c r="S36" s="1146">
        <f t="shared" si="12"/>
        <v>100</v>
      </c>
      <c r="T36" s="1145" t="s">
        <v>99</v>
      </c>
      <c r="U36" s="1146">
        <f t="shared" si="13"/>
        <v>100</v>
      </c>
      <c r="V36" s="1145" t="s">
        <v>99</v>
      </c>
      <c r="W36" s="1146">
        <f t="shared" si="14"/>
        <v>100</v>
      </c>
      <c r="X36" s="1132"/>
      <c r="Y36" s="3431"/>
      <c r="Z36" s="1147" t="str">
        <f t="shared" si="15"/>
        <v>公共部分装修</v>
      </c>
      <c r="AA36" s="1148">
        <f t="shared" si="3"/>
        <v>1</v>
      </c>
      <c r="AB36" s="1148">
        <f t="shared" si="4"/>
        <v>1</v>
      </c>
      <c r="AC36" s="1148">
        <f t="shared" si="5"/>
        <v>1</v>
      </c>
    </row>
    <row r="37" spans="1:29" s="11" customFormat="1" ht="15">
      <c r="A37" s="900"/>
      <c r="B37" s="4" t="s">
        <v>75</v>
      </c>
      <c r="C37" s="673">
        <f>'数据-取费表'!E20</f>
        <v>0.8</v>
      </c>
      <c r="D37" s="883">
        <v>100</v>
      </c>
      <c r="E37" s="674">
        <f>C37</f>
        <v>0.8</v>
      </c>
      <c r="F37" s="1143">
        <f>LOOKUP(E37,112:112,113:113)-LOOKUP(C37,112:112,113:113)+100</f>
        <v>100</v>
      </c>
      <c r="G37" s="675">
        <f>C37</f>
        <v>0.8</v>
      </c>
      <c r="H37" s="883">
        <f>LOOKUP(G37,112:112,113:113)-LOOKUP(C37,112:112,113:113)+100</f>
        <v>100</v>
      </c>
      <c r="I37" s="674">
        <f>C37</f>
        <v>0.8</v>
      </c>
      <c r="J37" s="883">
        <f>LOOKUP(I37,112:112,113:113)-LOOKUP(C37,112:112,113:113)+100</f>
        <v>100</v>
      </c>
      <c r="K37" s="624"/>
      <c r="L37" s="2164"/>
      <c r="M37" s="2106"/>
      <c r="N37" s="2106"/>
      <c r="O37" s="2106"/>
      <c r="P37" s="3429"/>
      <c r="Q37" s="2" t="str">
        <f t="shared" si="11"/>
        <v>成新度</v>
      </c>
      <c r="R37" s="1134" t="s">
        <v>99</v>
      </c>
      <c r="S37" s="1135">
        <f t="shared" si="12"/>
        <v>100</v>
      </c>
      <c r="T37" s="1134" t="s">
        <v>99</v>
      </c>
      <c r="U37" s="1135">
        <f t="shared" si="13"/>
        <v>100</v>
      </c>
      <c r="V37" s="1134" t="s">
        <v>99</v>
      </c>
      <c r="W37" s="1135">
        <f t="shared" si="14"/>
        <v>100</v>
      </c>
      <c r="X37" s="184"/>
      <c r="Y37" s="3431"/>
      <c r="Z37" s="185" t="str">
        <f t="shared" si="15"/>
        <v>成新度</v>
      </c>
      <c r="AA37" s="1136">
        <f t="shared" si="3"/>
        <v>1</v>
      </c>
      <c r="AB37" s="1136">
        <f t="shared" si="4"/>
        <v>1</v>
      </c>
      <c r="AC37" s="1136">
        <f t="shared" si="5"/>
        <v>1</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29" t="s">
        <v>66</v>
      </c>
      <c r="Q38" s="1144" t="str">
        <f t="shared" si="11"/>
        <v>物业管理</v>
      </c>
      <c r="R38" s="1145" t="s">
        <v>99</v>
      </c>
      <c r="S38" s="1146">
        <f t="shared" si="12"/>
        <v>100</v>
      </c>
      <c r="T38" s="1145" t="s">
        <v>99</v>
      </c>
      <c r="U38" s="1146">
        <f t="shared" si="13"/>
        <v>100</v>
      </c>
      <c r="V38" s="1145" t="s">
        <v>99</v>
      </c>
      <c r="W38" s="1146">
        <f t="shared" si="14"/>
        <v>100</v>
      </c>
      <c r="X38" s="1132"/>
      <c r="Y38" s="3431" t="s">
        <v>66</v>
      </c>
      <c r="Z38" s="1147" t="str">
        <f t="shared" si="15"/>
        <v>物业管理</v>
      </c>
      <c r="AA38" s="1148">
        <f t="shared" si="3"/>
        <v>1</v>
      </c>
      <c r="AB38" s="1148">
        <f t="shared" si="4"/>
        <v>1</v>
      </c>
      <c r="AC38" s="1148">
        <f t="shared" si="5"/>
        <v>1</v>
      </c>
    </row>
    <row r="39" spans="1:29" ht="15">
      <c r="A39" s="111"/>
      <c r="B39" s="4" t="s">
        <v>2542</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29"/>
      <c r="Q39" s="1144" t="str">
        <f t="shared" si="11"/>
        <v>市政基础设施</v>
      </c>
      <c r="R39" s="1145" t="s">
        <v>99</v>
      </c>
      <c r="S39" s="1146">
        <f t="shared" si="12"/>
        <v>100</v>
      </c>
      <c r="T39" s="1145" t="s">
        <v>99</v>
      </c>
      <c r="U39" s="1146">
        <f t="shared" si="13"/>
        <v>100</v>
      </c>
      <c r="V39" s="1145" t="s">
        <v>99</v>
      </c>
      <c r="W39" s="1146">
        <f t="shared" si="14"/>
        <v>100</v>
      </c>
      <c r="X39" s="1132"/>
      <c r="Y39" s="3431"/>
      <c r="Z39" s="1147" t="str">
        <f t="shared" si="15"/>
        <v>市政基础设施</v>
      </c>
      <c r="AA39" s="1148">
        <f t="shared" si="3"/>
        <v>1</v>
      </c>
      <c r="AB39" s="1148">
        <f t="shared" si="4"/>
        <v>1</v>
      </c>
      <c r="AC39" s="1148">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29"/>
      <c r="Q40" s="1144" t="str">
        <f t="shared" si="11"/>
        <v>房型</v>
      </c>
      <c r="R40" s="1145" t="s">
        <v>99</v>
      </c>
      <c r="S40" s="1146">
        <f t="shared" si="12"/>
        <v>100</v>
      </c>
      <c r="T40" s="1145" t="s">
        <v>99</v>
      </c>
      <c r="U40" s="1146">
        <f t="shared" si="13"/>
        <v>100</v>
      </c>
      <c r="V40" s="1145" t="s">
        <v>99</v>
      </c>
      <c r="W40" s="1146">
        <f t="shared" si="14"/>
        <v>100</v>
      </c>
      <c r="X40" s="1132"/>
      <c r="Y40" s="3431"/>
      <c r="Z40" s="1147" t="str">
        <f t="shared" si="15"/>
        <v>房型</v>
      </c>
      <c r="AA40" s="1148">
        <f t="shared" si="3"/>
        <v>1</v>
      </c>
      <c r="AB40" s="1148">
        <f t="shared" si="4"/>
        <v>1</v>
      </c>
      <c r="AC40" s="1148">
        <f t="shared" si="5"/>
        <v>1</v>
      </c>
    </row>
    <row r="41" spans="1:29" s="898" customFormat="1" ht="27">
      <c r="A41" s="902"/>
      <c r="B41" s="4" t="s">
        <v>100</v>
      </c>
      <c r="C41" s="1151"/>
      <c r="D41" s="883">
        <v>100</v>
      </c>
      <c r="E41" s="887"/>
      <c r="F41" s="1143">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29"/>
      <c r="Q41" s="1152" t="str">
        <f t="shared" si="11"/>
        <v>单套/主力户型建筑面积</v>
      </c>
      <c r="R41" s="1153" t="s">
        <v>99</v>
      </c>
      <c r="S41" s="1154">
        <f t="shared" si="12"/>
        <v>100</v>
      </c>
      <c r="T41" s="1153" t="s">
        <v>99</v>
      </c>
      <c r="U41" s="1154">
        <f t="shared" si="13"/>
        <v>100</v>
      </c>
      <c r="V41" s="1153" t="s">
        <v>99</v>
      </c>
      <c r="W41" s="1154">
        <f t="shared" si="14"/>
        <v>100</v>
      </c>
      <c r="X41" s="1155"/>
      <c r="Y41" s="3431"/>
      <c r="Z41" s="1156" t="str">
        <f t="shared" si="15"/>
        <v>单套/主力户型建筑面积</v>
      </c>
      <c r="AA41" s="1148">
        <f t="shared" si="3"/>
        <v>1</v>
      </c>
      <c r="AB41" s="1148">
        <f t="shared" si="4"/>
        <v>1</v>
      </c>
      <c r="AC41" s="1148">
        <f t="shared" si="5"/>
        <v>1</v>
      </c>
    </row>
    <row r="42" spans="1:29" ht="15">
      <c r="A42" s="111"/>
      <c r="B42" s="4" t="s">
        <v>78</v>
      </c>
      <c r="C42" s="56" t="s">
        <v>107</v>
      </c>
      <c r="D42" s="102">
        <v>100</v>
      </c>
      <c r="E42" s="55" t="s">
        <v>2952</v>
      </c>
      <c r="F42" s="123">
        <f>SUMIF(122:122,E42,123:123)-SUMIF(122:122,C42,123:123)+100</f>
        <v>98</v>
      </c>
      <c r="G42" s="56" t="s">
        <v>107</v>
      </c>
      <c r="H42" s="102">
        <f>SUMIF(122:122,G42,123:123)-SUMIF(122:122,C42,123:123)+100</f>
        <v>100</v>
      </c>
      <c r="I42" s="55" t="s">
        <v>2948</v>
      </c>
      <c r="J42" s="102">
        <f>SUMIF(122:122,I42,123:123)-SUMIF(122:122,C42,123:123)+100</f>
        <v>96</v>
      </c>
      <c r="K42" s="624">
        <v>2</v>
      </c>
      <c r="L42" s="2168"/>
      <c r="M42" s="2163"/>
      <c r="N42" s="2163"/>
      <c r="O42" s="2163"/>
      <c r="P42" s="3429"/>
      <c r="Q42" s="1144" t="str">
        <f t="shared" si="11"/>
        <v>内部装修</v>
      </c>
      <c r="R42" s="1145" t="s">
        <v>99</v>
      </c>
      <c r="S42" s="1146">
        <f t="shared" si="12"/>
        <v>98</v>
      </c>
      <c r="T42" s="1145" t="s">
        <v>99</v>
      </c>
      <c r="U42" s="1146">
        <f t="shared" si="13"/>
        <v>100</v>
      </c>
      <c r="V42" s="1145" t="s">
        <v>99</v>
      </c>
      <c r="W42" s="1146">
        <f t="shared" si="14"/>
        <v>96</v>
      </c>
      <c r="X42" s="1132"/>
      <c r="Y42" s="3431"/>
      <c r="Z42" s="1147" t="str">
        <f t="shared" si="15"/>
        <v>内部装修</v>
      </c>
      <c r="AA42" s="1148">
        <f t="shared" si="3"/>
        <v>1.0204081632653061</v>
      </c>
      <c r="AB42" s="1148">
        <f t="shared" si="4"/>
        <v>1</v>
      </c>
      <c r="AC42" s="1148">
        <f t="shared" si="5"/>
        <v>1.0416666666666667</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29"/>
      <c r="Q43" s="1144" t="str">
        <f t="shared" si="11"/>
        <v>内部装修维护情况</v>
      </c>
      <c r="R43" s="1145" t="s">
        <v>99</v>
      </c>
      <c r="S43" s="1146">
        <f t="shared" si="12"/>
        <v>100</v>
      </c>
      <c r="T43" s="1145" t="s">
        <v>99</v>
      </c>
      <c r="U43" s="1146">
        <f t="shared" si="13"/>
        <v>100</v>
      </c>
      <c r="V43" s="1145" t="s">
        <v>99</v>
      </c>
      <c r="W43" s="1146">
        <f t="shared" si="14"/>
        <v>100</v>
      </c>
      <c r="X43" s="1132"/>
      <c r="Y43" s="3431"/>
      <c r="Z43" s="1147" t="str">
        <f t="shared" si="15"/>
        <v>内部装修维护情况</v>
      </c>
      <c r="AA43" s="1148">
        <f t="shared" si="3"/>
        <v>1</v>
      </c>
      <c r="AB43" s="1148">
        <f t="shared" si="4"/>
        <v>1</v>
      </c>
      <c r="AC43" s="1148">
        <f t="shared" si="5"/>
        <v>1</v>
      </c>
    </row>
    <row r="44" spans="1:29" s="11" customFormat="1" ht="14.25">
      <c r="A44" s="900"/>
      <c r="B44" s="1150">
        <v>111</v>
      </c>
      <c r="C44" s="1151"/>
      <c r="D44" s="883">
        <v>100</v>
      </c>
      <c r="E44" s="1151"/>
      <c r="F44" s="1143">
        <f>SUMIF(126:126,E44,127:127)-SUMIF(126:126,C44,127:127)+100</f>
        <v>100</v>
      </c>
      <c r="G44" s="1151"/>
      <c r="H44" s="883">
        <f>SUMIF(126:126,G44,127:127)-SUMIF(126:126,C44,127:127)+100</f>
        <v>100</v>
      </c>
      <c r="I44" s="1151"/>
      <c r="J44" s="883">
        <f>SUMIF(126:126,I44,127:127)-SUMIF(126:126,C44,127:127)+100</f>
        <v>100</v>
      </c>
      <c r="K44" s="100"/>
      <c r="L44" s="2164"/>
      <c r="M44" s="2106"/>
      <c r="N44" s="2106"/>
      <c r="O44" s="2106"/>
      <c r="P44" s="3429"/>
      <c r="Q44" s="2">
        <f t="shared" si="11"/>
        <v>111</v>
      </c>
      <c r="R44" s="1134" t="s">
        <v>99</v>
      </c>
      <c r="S44" s="1135">
        <f t="shared" si="12"/>
        <v>100</v>
      </c>
      <c r="T44" s="1134" t="s">
        <v>99</v>
      </c>
      <c r="U44" s="1135">
        <f t="shared" si="13"/>
        <v>100</v>
      </c>
      <c r="V44" s="1134" t="s">
        <v>99</v>
      </c>
      <c r="W44" s="1135">
        <f t="shared" si="14"/>
        <v>100</v>
      </c>
      <c r="X44" s="184"/>
      <c r="Y44" s="3431"/>
      <c r="Z44" s="185">
        <f t="shared" si="15"/>
        <v>111</v>
      </c>
      <c r="AA44" s="1136">
        <f t="shared" si="3"/>
        <v>1</v>
      </c>
      <c r="AB44" s="1136">
        <f t="shared" si="4"/>
        <v>1</v>
      </c>
      <c r="AC44" s="1136">
        <f t="shared" si="5"/>
        <v>1</v>
      </c>
    </row>
    <row r="45" spans="1:29" ht="14.25">
      <c r="A45" s="111"/>
      <c r="B45" s="1150">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29"/>
      <c r="Q45" s="1144">
        <f t="shared" si="11"/>
        <v>111</v>
      </c>
      <c r="R45" s="1145" t="s">
        <v>99</v>
      </c>
      <c r="S45" s="1146">
        <f t="shared" si="12"/>
        <v>100</v>
      </c>
      <c r="T45" s="1145" t="s">
        <v>99</v>
      </c>
      <c r="U45" s="1146">
        <f t="shared" si="13"/>
        <v>100</v>
      </c>
      <c r="V45" s="1145" t="s">
        <v>99</v>
      </c>
      <c r="W45" s="1146">
        <f t="shared" si="14"/>
        <v>100</v>
      </c>
      <c r="X45" s="1132"/>
      <c r="Y45" s="3431"/>
      <c r="Z45" s="1147">
        <f t="shared" si="15"/>
        <v>111</v>
      </c>
      <c r="AA45" s="1148">
        <f t="shared" si="3"/>
        <v>1</v>
      </c>
      <c r="AB45" s="1148">
        <f t="shared" si="4"/>
        <v>1</v>
      </c>
      <c r="AC45" s="1148">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30"/>
      <c r="Q46" s="1144">
        <f t="shared" si="11"/>
        <v>111</v>
      </c>
      <c r="R46" s="1145" t="s">
        <v>98</v>
      </c>
      <c r="S46" s="1146">
        <f t="shared" si="12"/>
        <v>100</v>
      </c>
      <c r="T46" s="1145" t="s">
        <v>98</v>
      </c>
      <c r="U46" s="1146">
        <f t="shared" si="13"/>
        <v>100</v>
      </c>
      <c r="V46" s="1145" t="s">
        <v>98</v>
      </c>
      <c r="W46" s="1146">
        <f t="shared" si="14"/>
        <v>100</v>
      </c>
      <c r="X46" s="1132"/>
      <c r="Y46" s="3432"/>
      <c r="Z46" s="1147">
        <f t="shared" si="15"/>
        <v>111</v>
      </c>
      <c r="AA46" s="1148">
        <f t="shared" si="3"/>
        <v>1</v>
      </c>
      <c r="AB46" s="1148">
        <f t="shared" si="4"/>
        <v>1</v>
      </c>
      <c r="AC46" s="1148">
        <f t="shared" si="5"/>
        <v>1</v>
      </c>
    </row>
    <row r="47" spans="1:29" ht="15">
      <c r="A47" s="113" t="s">
        <v>97</v>
      </c>
      <c r="B47" s="114"/>
      <c r="C47" s="2608" t="s">
        <v>96</v>
      </c>
      <c r="D47" s="2609"/>
      <c r="E47" s="2610">
        <f>案例!H3</f>
        <v>52000</v>
      </c>
      <c r="F47" s="2611"/>
      <c r="G47" s="2612">
        <f>案例!H4</f>
        <v>55000</v>
      </c>
      <c r="H47" s="2613"/>
      <c r="I47" s="2610">
        <f>案例!H5</f>
        <v>50000</v>
      </c>
      <c r="J47" s="2613"/>
      <c r="K47" s="1157"/>
      <c r="L47" s="2170"/>
      <c r="M47" s="2171"/>
      <c r="N47" s="2163"/>
      <c r="O47" s="2171"/>
      <c r="P47" s="3437" t="str">
        <f>A47</f>
        <v>成交单价（元/平方米）</v>
      </c>
      <c r="Q47" s="3437"/>
      <c r="R47" s="3438">
        <f>E47</f>
        <v>52000</v>
      </c>
      <c r="S47" s="3438"/>
      <c r="T47" s="3438">
        <f>G47</f>
        <v>55000</v>
      </c>
      <c r="U47" s="3438"/>
      <c r="V47" s="3438">
        <f>I47</f>
        <v>50000</v>
      </c>
      <c r="W47" s="3438"/>
      <c r="X47" s="1158"/>
      <c r="Y47" s="1159"/>
      <c r="Z47" s="1158"/>
      <c r="AA47" s="1158"/>
      <c r="AB47" s="1158"/>
      <c r="AC47" s="1158"/>
    </row>
    <row r="48" spans="1:29" ht="15.75" thickBot="1">
      <c r="A48" s="115" t="s">
        <v>95</v>
      </c>
      <c r="B48" s="116"/>
      <c r="C48" s="2614">
        <f>R49</f>
        <v>55805</v>
      </c>
      <c r="D48" s="2615"/>
      <c r="E48" s="2616">
        <f>R48</f>
        <v>55854</v>
      </c>
      <c r="F48" s="2616"/>
      <c r="G48" s="2614">
        <f>T48</f>
        <v>55556</v>
      </c>
      <c r="H48" s="2615"/>
      <c r="I48" s="2616">
        <f>V48</f>
        <v>56004</v>
      </c>
      <c r="J48" s="2615"/>
      <c r="K48" s="1160"/>
      <c r="L48" s="2170"/>
      <c r="M48" s="2171"/>
      <c r="N48" s="2171"/>
      <c r="O48" s="2171"/>
      <c r="P48" s="3437" t="str">
        <f>A48</f>
        <v>比较价值（元/平方米）</v>
      </c>
      <c r="Q48" s="3437"/>
      <c r="R48" s="3438">
        <f>IF(E1="售价",ROUND(PRODUCT(R47,AA7:AA46),0),ROUND(PRODUCT(R47,AA7:AA46),1))</f>
        <v>55854</v>
      </c>
      <c r="S48" s="3438"/>
      <c r="T48" s="3441">
        <f>IF(E1="售价",ROUND(PRODUCT(T47,AB7:AB46),0),ROUND(PRODUCT(T47,AB7:AB46),1))</f>
        <v>55556</v>
      </c>
      <c r="U48" s="3442"/>
      <c r="V48" s="3438">
        <f>IF(E1="售价",ROUND(PRODUCT(V47,AC7:AC46),0),ROUND(PRODUCT(V47,AC7:AC46),1))</f>
        <v>56004</v>
      </c>
      <c r="W48" s="3438"/>
      <c r="X48" s="1158"/>
      <c r="Y48" s="1158"/>
      <c r="Z48" s="1158"/>
      <c r="AA48" s="1158"/>
      <c r="AB48" s="1158"/>
      <c r="AC48" s="1158"/>
    </row>
    <row r="49" spans="1:29" ht="15.75" thickBot="1">
      <c r="A49" s="62" t="s">
        <v>2887</v>
      </c>
      <c r="B49" s="63"/>
      <c r="C49" s="2617">
        <f>R49</f>
        <v>55805</v>
      </c>
      <c r="D49" s="2618"/>
      <c r="E49" s="2618"/>
      <c r="F49" s="2618"/>
      <c r="G49" s="2618"/>
      <c r="H49" s="2618"/>
      <c r="I49" s="2618"/>
      <c r="J49" s="2618"/>
      <c r="K49" s="1161"/>
      <c r="L49" s="2170"/>
      <c r="M49" s="2171"/>
      <c r="N49" s="2171"/>
      <c r="O49" s="2171"/>
      <c r="P49" s="3443" t="str">
        <f>A49</f>
        <v>估价对象XX用房的比较价值（楼面单价，元/平方米）</v>
      </c>
      <c r="Q49" s="3444"/>
      <c r="R49" s="3445">
        <f>IF(E1="售价",ROUND(AVERAGE(R48:V48),0),ROUND(AVERAGE(R48:V48),1))</f>
        <v>55805</v>
      </c>
      <c r="S49" s="3445"/>
      <c r="T49" s="3445"/>
      <c r="U49" s="3445"/>
      <c r="V49" s="3445"/>
      <c r="W49" s="3445"/>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922</v>
      </c>
      <c r="D52" s="697"/>
      <c r="E52" s="698">
        <f>IF(E47&lt;E48,E48/E47-1,E47/E48-1)</f>
        <v>7.4115384615384583E-2</v>
      </c>
      <c r="F52" s="699" t="str">
        <f>IF(OR(E52&gt;=0.3,E52&lt;=-0.3),"超过30%","")</f>
        <v/>
      </c>
      <c r="G52" s="698">
        <f>IF(G47&lt;G48,G48/G47-1,G47/G48-1)</f>
        <v>1.0109090909090845E-2</v>
      </c>
      <c r="H52" s="699" t="str">
        <f>IF(OR(G52&gt;=0.3,G52&lt;=-0.3),"超过30%","")</f>
        <v/>
      </c>
      <c r="I52" s="698">
        <f>IF(I47&lt;I48,I48/I47-1,I47/I48-1)</f>
        <v>0.12007999999999996</v>
      </c>
      <c r="J52" s="699" t="str">
        <f>IF(OR(I52&gt;=0.3,I52&lt;=-0.3),"超过30%","")</f>
        <v/>
      </c>
      <c r="K52" s="2176"/>
      <c r="L52" s="2172"/>
      <c r="M52" s="2171"/>
      <c r="N52" s="2171"/>
      <c r="O52" s="2171"/>
    </row>
    <row r="53" spans="1:29" ht="13.5" customHeight="1">
      <c r="A53" s="2171"/>
      <c r="B53" s="2171"/>
      <c r="C53" s="696" t="s">
        <v>923</v>
      </c>
      <c r="D53" s="700"/>
      <c r="E53" s="698">
        <f>IF(E48&lt;G48,G48/E48-1,E48/G48-1)</f>
        <v>5.3639570883432519E-3</v>
      </c>
      <c r="F53" s="699" t="str">
        <f>IF(OR(E53&gt;=0.2,E53&lt;=-0.2),"超过20%","")</f>
        <v/>
      </c>
      <c r="G53" s="698">
        <f>IF(G48&lt;I48,I48/G48-1,G48/I48-1)</f>
        <v>8.0639354885161385E-3</v>
      </c>
      <c r="H53" s="699" t="str">
        <f>IF(OR(G53&gt;=0.2,G53&lt;=-0.2),"超过20%","")</f>
        <v/>
      </c>
      <c r="I53" s="698">
        <f>IF(I48&lt;E48,E48/I48-1,I48/E48-1)</f>
        <v>2.6855731012997985E-3</v>
      </c>
      <c r="J53" s="699" t="str">
        <f>IF(OR(I53&gt;=0.2,I53&lt;=-0.2),"超过20%","")</f>
        <v/>
      </c>
      <c r="K53" s="2176"/>
      <c r="L53" s="2172"/>
      <c r="M53" s="2171"/>
      <c r="N53" s="2171"/>
      <c r="O53" s="2171"/>
    </row>
    <row r="54" spans="1:29" s="66" customFormat="1" ht="13.5" customHeight="1">
      <c r="A54" s="2173"/>
      <c r="B54" s="2173"/>
      <c r="C54" s="696" t="s">
        <v>924</v>
      </c>
      <c r="D54" s="700"/>
      <c r="E54" s="698">
        <f>IF(E47&lt;G47,G47/E47-1,E47/G47-1)</f>
        <v>5.7692307692307709E-2</v>
      </c>
      <c r="F54" s="699" t="str">
        <f>IF(OR(E54&gt;=0.3,E54&lt;=-0.3),"超过30%","")</f>
        <v/>
      </c>
      <c r="G54" s="698">
        <f>IF(G47&lt;I47,I47/G47-1,G47/I47-1)</f>
        <v>0.10000000000000009</v>
      </c>
      <c r="H54" s="699" t="str">
        <f>IF(OR(G54&gt;=0.3,G54&lt;=-0.3),"超过30%","")</f>
        <v/>
      </c>
      <c r="I54" s="698">
        <f>IF(I47&lt;E47,E47/I47-1,I47/E47-1)</f>
        <v>4.0000000000000036E-2</v>
      </c>
      <c r="J54" s="699" t="str">
        <f>IF(OR(I54&gt;=0.3,I54&lt;=-0.3),"超过30%","")</f>
        <v/>
      </c>
      <c r="K54" s="2177"/>
      <c r="L54" s="2178"/>
      <c r="M54" s="2173"/>
      <c r="N54" s="2173"/>
      <c r="O54" s="2173"/>
      <c r="P54" s="1163"/>
    </row>
    <row r="55" spans="1:29" s="66" customFormat="1">
      <c r="A55" s="2173"/>
      <c r="B55" s="2174"/>
      <c r="C55" s="2179"/>
      <c r="D55" s="2173"/>
      <c r="E55" s="2173"/>
      <c r="F55" s="2173"/>
      <c r="G55" s="2173"/>
      <c r="H55" s="2173"/>
      <c r="I55" s="2173"/>
      <c r="J55" s="2173"/>
      <c r="K55" s="2177"/>
      <c r="L55" s="2178"/>
      <c r="M55" s="2173"/>
      <c r="N55" s="2173"/>
      <c r="O55" s="2173"/>
      <c r="P55" s="1163"/>
    </row>
    <row r="56" spans="1:29">
      <c r="A56" s="2171"/>
      <c r="B56" s="2174"/>
      <c r="C56" s="2179"/>
      <c r="D56" s="2171"/>
      <c r="E56" s="2171"/>
      <c r="F56" s="2171"/>
      <c r="G56" s="2171"/>
      <c r="H56" s="2171"/>
      <c r="I56" s="2171"/>
      <c r="J56" s="2171"/>
      <c r="K56" s="2176"/>
      <c r="L56" s="2172"/>
      <c r="M56" s="2171"/>
      <c r="N56" s="2171"/>
      <c r="O56" s="2171"/>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8"/>
      <c r="B59" s="909"/>
      <c r="C59" s="841">
        <v>100</v>
      </c>
      <c r="D59" s="711"/>
      <c r="E59" s="711"/>
      <c r="F59" s="711"/>
      <c r="G59" s="711"/>
      <c r="H59" s="711"/>
      <c r="I59" s="711"/>
      <c r="J59" s="711"/>
      <c r="K59" s="711"/>
      <c r="L59" s="711"/>
      <c r="M59" s="712"/>
      <c r="N59" s="711"/>
      <c r="O59" s="712"/>
      <c r="P59" s="1171"/>
    </row>
    <row r="60" spans="1:29" s="11" customFormat="1" ht="15" thickBot="1">
      <c r="A60" s="910" t="s">
        <v>120</v>
      </c>
      <c r="B60" s="911"/>
      <c r="C60" s="716"/>
      <c r="D60" s="717"/>
      <c r="E60" s="717"/>
      <c r="F60" s="717"/>
      <c r="G60" s="717"/>
      <c r="H60" s="717"/>
      <c r="I60" s="717"/>
      <c r="J60" s="717"/>
      <c r="K60" s="717"/>
      <c r="L60" s="717"/>
      <c r="M60" s="718"/>
      <c r="N60" s="717"/>
      <c r="O60" s="718"/>
      <c r="P60" s="1171"/>
      <c r="Q60" s="68"/>
    </row>
    <row r="61" spans="1:29" s="11" customFormat="1">
      <c r="A61" s="912" t="s">
        <v>62</v>
      </c>
      <c r="B61" s="909"/>
      <c r="C61" s="913" t="s">
        <v>118</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63</v>
      </c>
      <c r="B63" s="183" t="s">
        <v>64</v>
      </c>
      <c r="C63" s="128">
        <f>C9</f>
        <v>0</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104</v>
      </c>
      <c r="C65" s="740" t="s">
        <v>925</v>
      </c>
      <c r="D65" s="740" t="s">
        <v>926</v>
      </c>
      <c r="E65" s="740" t="s">
        <v>927</v>
      </c>
      <c r="F65" s="740" t="s">
        <v>928</v>
      </c>
      <c r="G65" s="740" t="s">
        <v>929</v>
      </c>
      <c r="H65" s="740" t="s">
        <v>930</v>
      </c>
      <c r="I65" s="740" t="s">
        <v>931</v>
      </c>
      <c r="J65" s="740"/>
      <c r="K65" s="741"/>
      <c r="L65" s="742"/>
      <c r="M65" s="743"/>
      <c r="N65" s="1183"/>
      <c r="O65" s="1183"/>
      <c r="P65" s="1173"/>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4"/>
      <c r="O66" s="1184"/>
      <c r="P66" s="1173"/>
      <c r="Q66" s="68"/>
    </row>
    <row r="67" spans="1:17" ht="15"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20"/>
      <c r="C68" s="750">
        <v>0</v>
      </c>
      <c r="D68" s="750">
        <v>1</v>
      </c>
      <c r="E68" s="750">
        <v>2</v>
      </c>
      <c r="F68" s="750">
        <v>3</v>
      </c>
      <c r="G68" s="750">
        <v>4</v>
      </c>
      <c r="H68" s="750"/>
      <c r="I68" s="750"/>
      <c r="J68" s="750"/>
      <c r="K68" s="751"/>
      <c r="L68" s="752"/>
      <c r="M68" s="753"/>
      <c r="N68" s="1183"/>
      <c r="O68" s="1183"/>
      <c r="P68" s="1173"/>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4"/>
      <c r="O69" s="1184"/>
      <c r="P69" s="1173"/>
      <c r="Q69" s="68"/>
    </row>
    <row r="70" spans="1:17" s="898" customFormat="1" ht="15" thickTop="1">
      <c r="A70" s="921"/>
      <c r="B70" s="917">
        <f>B12</f>
        <v>111</v>
      </c>
      <c r="C70" s="755"/>
      <c r="D70" s="755"/>
      <c r="E70" s="755"/>
      <c r="F70" s="755"/>
      <c r="G70" s="755"/>
      <c r="H70" s="756"/>
      <c r="I70" s="756"/>
      <c r="J70" s="756"/>
      <c r="K70" s="756"/>
      <c r="L70" s="757"/>
      <c r="M70" s="758"/>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5" thickTop="1">
      <c r="A72" s="921"/>
      <c r="B72" s="917">
        <f>B13</f>
        <v>111</v>
      </c>
      <c r="C72" s="755"/>
      <c r="D72" s="755"/>
      <c r="E72" s="755"/>
      <c r="F72" s="755"/>
      <c r="G72" s="755"/>
      <c r="H72" s="756"/>
      <c r="I72" s="756"/>
      <c r="J72" s="756"/>
      <c r="K72" s="756"/>
      <c r="L72" s="757"/>
      <c r="M72" s="758"/>
      <c r="N72" s="1185"/>
      <c r="O72" s="1185"/>
      <c r="P72" s="1175"/>
      <c r="Q72" s="928"/>
    </row>
    <row r="73" spans="1:17" s="898" customFormat="1" ht="15" thickBot="1">
      <c r="A73" s="921"/>
      <c r="B73" s="918"/>
      <c r="C73" s="762"/>
      <c r="D73" s="762"/>
      <c r="E73" s="762"/>
      <c r="F73" s="762"/>
      <c r="G73" s="762"/>
      <c r="H73" s="764"/>
      <c r="I73" s="764"/>
      <c r="J73" s="764"/>
      <c r="K73" s="764"/>
      <c r="L73" s="764"/>
      <c r="M73" s="765"/>
      <c r="N73" s="1185"/>
      <c r="O73" s="1185"/>
      <c r="P73" s="1174"/>
      <c r="Q73" s="926"/>
    </row>
    <row r="74" spans="1:17" s="898" customFormat="1" ht="15" thickTop="1">
      <c r="A74" s="921"/>
      <c r="B74" s="919">
        <f>B14</f>
        <v>111</v>
      </c>
      <c r="C74" s="755"/>
      <c r="D74" s="755"/>
      <c r="E74" s="755"/>
      <c r="F74" s="755"/>
      <c r="G74" s="722"/>
      <c r="H74" s="766"/>
      <c r="I74" s="766"/>
      <c r="J74" s="766"/>
      <c r="K74" s="766"/>
      <c r="L74" s="767"/>
      <c r="M74" s="768"/>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65</v>
      </c>
      <c r="B76" s="183" t="s">
        <v>109</v>
      </c>
      <c r="C76" s="775" t="s">
        <v>932</v>
      </c>
      <c r="D76" s="775" t="s">
        <v>933</v>
      </c>
      <c r="E76" s="775" t="s">
        <v>934</v>
      </c>
      <c r="F76" s="775" t="s">
        <v>935</v>
      </c>
      <c r="G76" s="775" t="s">
        <v>936</v>
      </c>
      <c r="H76" s="728"/>
      <c r="I76" s="728"/>
      <c r="J76" s="728"/>
      <c r="K76" s="776"/>
      <c r="L76" s="777"/>
      <c r="M76" s="778"/>
      <c r="N76" s="1183"/>
      <c r="O76" s="1183"/>
      <c r="P76" s="1177"/>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7" t="s">
        <v>87</v>
      </c>
      <c r="C78" s="780" t="s">
        <v>932</v>
      </c>
      <c r="D78" s="780" t="s">
        <v>933</v>
      </c>
      <c r="E78" s="780" t="s">
        <v>934</v>
      </c>
      <c r="F78" s="780" t="s">
        <v>935</v>
      </c>
      <c r="G78" s="780" t="s">
        <v>936</v>
      </c>
      <c r="H78" s="740"/>
      <c r="I78" s="740"/>
      <c r="J78" s="740"/>
      <c r="K78" s="741"/>
      <c r="L78" s="742"/>
      <c r="M78" s="743"/>
      <c r="N78" s="1183"/>
      <c r="O78" s="1183"/>
      <c r="P78" s="1173"/>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7" t="s">
        <v>2540</v>
      </c>
      <c r="C80" s="780" t="s">
        <v>932</v>
      </c>
      <c r="D80" s="780" t="s">
        <v>933</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9" t="s">
        <v>2541</v>
      </c>
      <c r="C82" s="129" t="s">
        <v>2544</v>
      </c>
      <c r="D82" s="129" t="s">
        <v>2545</v>
      </c>
      <c r="E82" s="129" t="s">
        <v>2546</v>
      </c>
      <c r="F82" s="129" t="s">
        <v>2547</v>
      </c>
      <c r="G82" s="129" t="s">
        <v>2548</v>
      </c>
      <c r="H82" s="740"/>
      <c r="I82" s="740"/>
      <c r="J82" s="740"/>
      <c r="K82" s="740"/>
      <c r="L82" s="740"/>
      <c r="M82" s="2558"/>
      <c r="N82" s="1184"/>
      <c r="O82" s="1184"/>
      <c r="P82" s="1173"/>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5"/>
      <c r="B86" s="917" t="s">
        <v>2196</v>
      </c>
      <c r="C86" s="86">
        <v>3</v>
      </c>
      <c r="D86" s="86">
        <v>4</v>
      </c>
      <c r="E86" s="86">
        <v>5</v>
      </c>
      <c r="F86" s="86">
        <v>6</v>
      </c>
      <c r="G86" s="86">
        <v>7</v>
      </c>
      <c r="H86" s="86">
        <v>8</v>
      </c>
      <c r="I86" s="86">
        <v>9</v>
      </c>
      <c r="J86" s="86">
        <v>10</v>
      </c>
      <c r="K86" s="86">
        <v>11</v>
      </c>
      <c r="L86" s="1178">
        <v>12</v>
      </c>
      <c r="M86" s="1179">
        <v>13</v>
      </c>
      <c r="N86" s="1182"/>
      <c r="O86" s="1182"/>
      <c r="P86" s="1173"/>
      <c r="Q86" s="68"/>
    </row>
    <row r="87" spans="1:17" s="11" customFormat="1" ht="15" thickBot="1">
      <c r="A87" s="935"/>
      <c r="B87" s="918"/>
      <c r="C87" s="784">
        <v>100</v>
      </c>
      <c r="D87" s="745">
        <f>$C$87-($C$86-D86)*$K$25</f>
        <v>101</v>
      </c>
      <c r="E87" s="745">
        <f t="shared" ref="E87:M87" si="20">$C$87-($C$86-E86)*$K$25</f>
        <v>102</v>
      </c>
      <c r="F87" s="745">
        <f t="shared" si="20"/>
        <v>103</v>
      </c>
      <c r="G87" s="745">
        <f t="shared" si="20"/>
        <v>104</v>
      </c>
      <c r="H87" s="745">
        <f t="shared" si="20"/>
        <v>105</v>
      </c>
      <c r="I87" s="745">
        <f t="shared" si="20"/>
        <v>106</v>
      </c>
      <c r="J87" s="745">
        <f t="shared" si="20"/>
        <v>107</v>
      </c>
      <c r="K87" s="745">
        <f t="shared" si="20"/>
        <v>108</v>
      </c>
      <c r="L87" s="745">
        <f t="shared" si="20"/>
        <v>109</v>
      </c>
      <c r="M87" s="745">
        <f t="shared" si="20"/>
        <v>110</v>
      </c>
      <c r="N87" s="1184"/>
      <c r="O87" s="1184"/>
      <c r="P87" s="1173"/>
      <c r="Q87" s="68"/>
    </row>
    <row r="88" spans="1:17" s="11" customFormat="1" ht="14.25" thickTop="1">
      <c r="A88" s="935"/>
      <c r="B88" s="917" t="s">
        <v>92</v>
      </c>
      <c r="C88" s="86" t="s">
        <v>2945</v>
      </c>
      <c r="D88" s="86" t="s">
        <v>2947</v>
      </c>
      <c r="E88" s="86"/>
      <c r="F88" s="1180"/>
      <c r="G88" s="86"/>
      <c r="H88" s="86"/>
      <c r="I88" s="86"/>
      <c r="J88" s="86"/>
      <c r="K88" s="86"/>
      <c r="L88" s="86"/>
      <c r="M88" s="1179"/>
      <c r="N88" s="1182"/>
      <c r="O88" s="1182"/>
      <c r="P88" s="1173"/>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4"/>
      <c r="O89" s="1184"/>
      <c r="P89" s="1173"/>
      <c r="Q89" s="68"/>
    </row>
    <row r="90" spans="1:17" s="898" customFormat="1" ht="14.25" thickTop="1">
      <c r="A90" s="921"/>
      <c r="B90" s="917" t="str">
        <f>B27</f>
        <v>道路级别</v>
      </c>
      <c r="C90" s="86"/>
      <c r="D90" s="86"/>
      <c r="E90" s="86"/>
      <c r="F90" s="86"/>
      <c r="G90" s="86"/>
      <c r="H90" s="922"/>
      <c r="I90" s="922"/>
      <c r="J90" s="922"/>
      <c r="K90" s="922"/>
      <c r="L90" s="923"/>
      <c r="M90" s="924"/>
      <c r="N90" s="1185"/>
      <c r="O90" s="1185"/>
      <c r="P90" s="1174"/>
      <c r="Q90" s="926"/>
    </row>
    <row r="91" spans="1:17" s="898" customFormat="1" ht="15" thickBot="1">
      <c r="A91" s="921"/>
      <c r="B91" s="918"/>
      <c r="C91" s="762"/>
      <c r="D91" s="762"/>
      <c r="E91" s="762"/>
      <c r="F91" s="762"/>
      <c r="G91" s="762"/>
      <c r="H91" s="764"/>
      <c r="I91" s="764"/>
      <c r="J91" s="764"/>
      <c r="K91" s="764"/>
      <c r="L91" s="764"/>
      <c r="M91" s="765"/>
      <c r="N91" s="1185"/>
      <c r="O91" s="1185"/>
      <c r="P91" s="1174"/>
      <c r="Q91" s="926"/>
    </row>
    <row r="92" spans="1:17" ht="15" thickTop="1">
      <c r="A92" s="125"/>
      <c r="B92" s="917">
        <f>B28</f>
        <v>111</v>
      </c>
      <c r="C92" s="755"/>
      <c r="D92" s="755"/>
      <c r="E92" s="755"/>
      <c r="F92" s="755"/>
      <c r="G92" s="785"/>
      <c r="H92" s="785"/>
      <c r="I92" s="785"/>
      <c r="J92" s="785"/>
      <c r="K92" s="786"/>
      <c r="L92" s="787"/>
      <c r="M92" s="788"/>
      <c r="N92" s="1183"/>
      <c r="O92" s="1183"/>
      <c r="P92" s="1173"/>
      <c r="Q92" s="68"/>
    </row>
    <row r="93" spans="1:17" ht="15" thickBot="1">
      <c r="A93" s="125"/>
      <c r="B93" s="918"/>
      <c r="C93" s="762"/>
      <c r="D93" s="736"/>
      <c r="E93" s="736"/>
      <c r="F93" s="736"/>
      <c r="G93" s="736"/>
      <c r="H93" s="736"/>
      <c r="I93" s="736"/>
      <c r="J93" s="736"/>
      <c r="K93" s="736"/>
      <c r="L93" s="736"/>
      <c r="M93" s="737"/>
      <c r="N93" s="1184"/>
      <c r="O93" s="1184"/>
      <c r="P93" s="1173"/>
      <c r="Q93" s="68"/>
    </row>
    <row r="94" spans="1:17" ht="15" thickTop="1">
      <c r="A94" s="125"/>
      <c r="B94" s="917">
        <f>B29</f>
        <v>111</v>
      </c>
      <c r="C94" s="755"/>
      <c r="D94" s="755"/>
      <c r="E94" s="755"/>
      <c r="F94" s="755"/>
      <c r="G94" s="785"/>
      <c r="H94" s="785"/>
      <c r="I94" s="785"/>
      <c r="J94" s="785"/>
      <c r="K94" s="786"/>
      <c r="L94" s="787"/>
      <c r="M94" s="788"/>
      <c r="N94" s="1183"/>
      <c r="O94" s="1183"/>
      <c r="P94" s="1173"/>
      <c r="Q94" s="68"/>
    </row>
    <row r="95" spans="1:17" ht="15" thickBot="1">
      <c r="A95" s="125"/>
      <c r="B95" s="918"/>
      <c r="C95" s="762"/>
      <c r="D95" s="762"/>
      <c r="E95" s="762"/>
      <c r="F95" s="762"/>
      <c r="G95" s="736"/>
      <c r="H95" s="736"/>
      <c r="I95" s="736"/>
      <c r="J95" s="736"/>
      <c r="K95" s="736"/>
      <c r="L95" s="736"/>
      <c r="M95" s="737"/>
      <c r="N95" s="1184"/>
      <c r="O95" s="1184"/>
      <c r="P95" s="1173"/>
      <c r="Q95" s="68"/>
    </row>
    <row r="96" spans="1:17" ht="15" thickTop="1">
      <c r="A96" s="125"/>
      <c r="B96" s="917">
        <f>B30</f>
        <v>111</v>
      </c>
      <c r="C96" s="755"/>
      <c r="D96" s="755"/>
      <c r="E96" s="755"/>
      <c r="F96" s="755"/>
      <c r="G96" s="785"/>
      <c r="H96" s="785"/>
      <c r="I96" s="785"/>
      <c r="J96" s="785"/>
      <c r="K96" s="786"/>
      <c r="L96" s="787"/>
      <c r="M96" s="788"/>
      <c r="N96" s="1183"/>
      <c r="O96" s="1183"/>
      <c r="P96" s="1173"/>
      <c r="Q96" s="68"/>
    </row>
    <row r="97" spans="1:17" ht="15" thickBot="1">
      <c r="A97" s="125"/>
      <c r="B97" s="918"/>
      <c r="C97" s="772"/>
      <c r="D97" s="772"/>
      <c r="E97" s="772"/>
      <c r="F97" s="772"/>
      <c r="G97" s="736"/>
      <c r="H97" s="736"/>
      <c r="I97" s="736"/>
      <c r="J97" s="736"/>
      <c r="K97" s="736"/>
      <c r="L97" s="736"/>
      <c r="M97" s="737"/>
      <c r="N97" s="1184"/>
      <c r="O97" s="1184"/>
      <c r="P97" s="1173"/>
      <c r="Q97" s="68"/>
    </row>
    <row r="98" spans="1:17" ht="15" thickTop="1">
      <c r="A98" s="125"/>
      <c r="B98" s="919">
        <f>B31</f>
        <v>111</v>
      </c>
      <c r="C98" s="789"/>
      <c r="D98" s="789"/>
      <c r="E98" s="789"/>
      <c r="F98" s="789"/>
      <c r="G98" s="789"/>
      <c r="H98" s="789"/>
      <c r="I98" s="789"/>
      <c r="J98" s="789"/>
      <c r="K98" s="790"/>
      <c r="L98" s="791"/>
      <c r="M98" s="792"/>
      <c r="N98" s="1183"/>
      <c r="O98" s="1183"/>
      <c r="P98" s="1173"/>
      <c r="Q98" s="68"/>
    </row>
    <row r="99" spans="1:17" ht="15" thickBot="1">
      <c r="A99" s="126"/>
      <c r="B99" s="934"/>
      <c r="C99" s="793"/>
      <c r="D99" s="793"/>
      <c r="E99" s="793"/>
      <c r="F99" s="793"/>
      <c r="G99" s="793"/>
      <c r="H99" s="793"/>
      <c r="I99" s="793"/>
      <c r="J99" s="793"/>
      <c r="K99" s="793"/>
      <c r="L99" s="793"/>
      <c r="M99" s="794"/>
      <c r="N99" s="1184"/>
      <c r="O99" s="1184"/>
      <c r="P99" s="1173"/>
      <c r="Q99" s="68"/>
    </row>
    <row r="100" spans="1:17">
      <c r="A100" s="124" t="s">
        <v>66</v>
      </c>
      <c r="B100" s="183" t="s">
        <v>124</v>
      </c>
      <c r="C100" s="69"/>
      <c r="D100" s="69"/>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4"/>
      <c r="O101" s="1184"/>
      <c r="P101" s="1173"/>
      <c r="Q101" s="68"/>
    </row>
    <row r="102" spans="1:17" ht="15" thickTop="1">
      <c r="A102" s="125"/>
      <c r="B102" s="917" t="s">
        <v>91</v>
      </c>
      <c r="C102" s="780" t="str">
        <f>C103&amp;"(含)"&amp;"-"&amp;D103</f>
        <v>0(含)-100</v>
      </c>
      <c r="D102" s="780" t="str">
        <f t="shared" ref="D102:L102" si="23">D103&amp;"(含)"&amp;"-"&amp;E103</f>
        <v>100(含)-200</v>
      </c>
      <c r="E102" s="780" t="str">
        <f t="shared" si="23"/>
        <v>200(含)-300</v>
      </c>
      <c r="F102" s="780" t="str">
        <f t="shared" si="23"/>
        <v>300(含)-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6"/>
      <c r="B103" s="937"/>
      <c r="C103" s="797">
        <v>0</v>
      </c>
      <c r="D103" s="797">
        <v>100</v>
      </c>
      <c r="E103" s="797">
        <v>200</v>
      </c>
      <c r="F103" s="797">
        <v>300</v>
      </c>
      <c r="G103" s="797"/>
      <c r="H103" s="797"/>
      <c r="I103" s="797"/>
      <c r="J103" s="798"/>
      <c r="K103" s="798"/>
      <c r="L103" s="799"/>
      <c r="M103" s="800"/>
      <c r="N103" s="1185"/>
      <c r="O103" s="1185"/>
      <c r="P103" s="1174"/>
      <c r="Q103" s="926"/>
    </row>
    <row r="104" spans="1:17" s="898" customFormat="1" ht="15" thickBot="1">
      <c r="A104" s="921"/>
      <c r="B104" s="918"/>
      <c r="C104" s="762">
        <v>102</v>
      </c>
      <c r="D104" s="736">
        <v>100</v>
      </c>
      <c r="E104" s="736">
        <v>98</v>
      </c>
      <c r="F104" s="736">
        <v>96</v>
      </c>
      <c r="G104" s="736"/>
      <c r="H104" s="736"/>
      <c r="I104" s="736"/>
      <c r="J104" s="736"/>
      <c r="K104" s="736"/>
      <c r="L104" s="736"/>
      <c r="M104" s="736"/>
      <c r="N104" s="1184"/>
      <c r="O104" s="1184"/>
      <c r="P104" s="1174"/>
      <c r="Q104" s="926"/>
    </row>
    <row r="105" spans="1:17" ht="14.25" thickTop="1">
      <c r="A105" s="127"/>
      <c r="B105" s="917" t="s">
        <v>90</v>
      </c>
      <c r="C105" s="86"/>
      <c r="D105" s="86"/>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4"/>
      <c r="O106" s="1184"/>
      <c r="P106" s="1173"/>
      <c r="Q106" s="68"/>
    </row>
    <row r="107" spans="1:17" ht="14.25" thickTop="1">
      <c r="A107" s="127"/>
      <c r="B107" s="917" t="s">
        <v>110</v>
      </c>
      <c r="C107" s="78"/>
      <c r="D107" s="78"/>
      <c r="E107" s="78"/>
      <c r="F107" s="78"/>
      <c r="G107" s="78"/>
      <c r="H107" s="78"/>
      <c r="I107" s="78"/>
      <c r="J107" s="78"/>
      <c r="K107" s="79"/>
      <c r="L107" s="80"/>
      <c r="M107" s="81"/>
      <c r="N107" s="1183"/>
      <c r="O107" s="1183"/>
      <c r="P107" s="1173"/>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4"/>
      <c r="O108" s="1184"/>
      <c r="P108" s="1173"/>
      <c r="Q108" s="68"/>
    </row>
    <row r="109" spans="1:17" ht="14.25" thickTop="1">
      <c r="A109" s="127"/>
      <c r="B109" s="917" t="s">
        <v>126</v>
      </c>
      <c r="C109" s="86"/>
      <c r="D109" s="86"/>
      <c r="E109" s="86"/>
      <c r="F109" s="78"/>
      <c r="G109" s="78"/>
      <c r="H109" s="78"/>
      <c r="I109" s="78"/>
      <c r="J109" s="78"/>
      <c r="K109" s="79"/>
      <c r="L109" s="80"/>
      <c r="M109" s="81"/>
      <c r="N109" s="1183"/>
      <c r="O109" s="1183"/>
      <c r="P109" s="1173"/>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4"/>
      <c r="O110" s="1184"/>
      <c r="P110" s="1173"/>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5"/>
      <c r="O112" s="1185"/>
      <c r="P112" s="1174"/>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5"/>
      <c r="O113" s="1185"/>
      <c r="P113" s="1174"/>
      <c r="Q113" s="926"/>
    </row>
    <row r="114" spans="1:17" ht="14.25" thickTop="1">
      <c r="A114" s="127"/>
      <c r="B114" s="917" t="s">
        <v>127</v>
      </c>
      <c r="C114" s="86"/>
      <c r="D114" s="86"/>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4"/>
      <c r="O115" s="1184"/>
      <c r="P115" s="1173"/>
      <c r="Q115" s="68"/>
    </row>
    <row r="116" spans="1:17" ht="14.25" thickTop="1">
      <c r="A116" s="127"/>
      <c r="B116" s="917" t="s">
        <v>2543</v>
      </c>
      <c r="C116" s="86"/>
      <c r="D116" s="86"/>
      <c r="E116" s="86"/>
      <c r="F116" s="86"/>
      <c r="G116" s="86"/>
      <c r="H116" s="78"/>
      <c r="I116" s="78"/>
      <c r="J116" s="78"/>
      <c r="K116" s="79"/>
      <c r="L116" s="80"/>
      <c r="M116" s="81"/>
      <c r="N116" s="1183"/>
      <c r="O116" s="1183"/>
      <c r="P116" s="1173"/>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4.25" thickTop="1">
      <c r="A118" s="127"/>
      <c r="B118" s="917" t="s">
        <v>112</v>
      </c>
      <c r="C118" s="78"/>
      <c r="D118" s="78"/>
      <c r="E118" s="78"/>
      <c r="F118" s="78"/>
      <c r="G118" s="78"/>
      <c r="H118" s="78"/>
      <c r="I118" s="78"/>
      <c r="J118" s="78"/>
      <c r="K118" s="79"/>
      <c r="L118" s="80"/>
      <c r="M118" s="81"/>
      <c r="N118" s="1183"/>
      <c r="O118" s="1183"/>
      <c r="P118" s="1173"/>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4"/>
      <c r="O119" s="1184"/>
      <c r="P119" s="1173"/>
      <c r="Q119" s="68"/>
    </row>
    <row r="120" spans="1:17" s="898" customFormat="1" ht="27.75" thickTop="1">
      <c r="A120" s="936"/>
      <c r="B120" s="917" t="s">
        <v>100</v>
      </c>
      <c r="C120" s="86"/>
      <c r="D120" s="86"/>
      <c r="E120" s="86"/>
      <c r="F120" s="86"/>
      <c r="G120" s="86"/>
      <c r="H120" s="86"/>
      <c r="I120" s="86"/>
      <c r="J120" s="86"/>
      <c r="K120" s="86"/>
      <c r="L120" s="1178"/>
      <c r="M120" s="1179"/>
      <c r="N120" s="1185"/>
      <c r="O120" s="1185"/>
      <c r="P120" s="1174"/>
      <c r="Q120" s="926"/>
    </row>
    <row r="121" spans="1:17" s="898" customFormat="1" ht="15" thickBot="1">
      <c r="A121" s="921"/>
      <c r="B121" s="916"/>
      <c r="C121" s="762"/>
      <c r="D121" s="736"/>
      <c r="E121" s="736"/>
      <c r="F121" s="736"/>
      <c r="G121" s="736"/>
      <c r="H121" s="736"/>
      <c r="I121" s="736"/>
      <c r="J121" s="736"/>
      <c r="K121" s="736"/>
      <c r="L121" s="736"/>
      <c r="M121" s="736"/>
      <c r="N121" s="1185"/>
      <c r="O121" s="1185"/>
      <c r="P121" s="1174"/>
      <c r="Q121" s="926"/>
    </row>
    <row r="122" spans="1:17" ht="14.25" thickTop="1">
      <c r="A122" s="127"/>
      <c r="B122" s="917" t="s">
        <v>128</v>
      </c>
      <c r="C122" s="86" t="s">
        <v>2950</v>
      </c>
      <c r="D122" s="86" t="s">
        <v>2951</v>
      </c>
      <c r="E122" s="86" t="s">
        <v>2953</v>
      </c>
      <c r="F122" s="78" t="s">
        <v>2949</v>
      </c>
      <c r="G122" s="78"/>
      <c r="H122" s="78"/>
      <c r="I122" s="78"/>
      <c r="J122" s="78"/>
      <c r="K122" s="79"/>
      <c r="L122" s="80"/>
      <c r="M122" s="81"/>
      <c r="N122" s="1183"/>
      <c r="O122" s="1183"/>
      <c r="P122" s="1173"/>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4"/>
      <c r="O123" s="1184"/>
      <c r="P123" s="1173"/>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6"/>
      <c r="B126" s="917">
        <f>B44</f>
        <v>111</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111</v>
      </c>
      <c r="C128" s="86"/>
      <c r="D128" s="86"/>
      <c r="E128" s="86"/>
      <c r="F128" s="86"/>
      <c r="G128" s="78"/>
      <c r="H128" s="78"/>
      <c r="I128" s="78"/>
      <c r="J128" s="78"/>
      <c r="K128" s="79"/>
      <c r="L128" s="80"/>
      <c r="M128" s="81"/>
      <c r="N128" s="1183"/>
      <c r="O128" s="1183"/>
      <c r="P128" s="1173"/>
      <c r="Q128" s="68"/>
    </row>
    <row r="129" spans="1:17" ht="15" thickBot="1">
      <c r="A129" s="125"/>
      <c r="B129" s="918"/>
      <c r="C129" s="762"/>
      <c r="D129" s="762"/>
      <c r="E129" s="762"/>
      <c r="F129" s="762"/>
      <c r="G129" s="736"/>
      <c r="H129" s="736"/>
      <c r="I129" s="736"/>
      <c r="J129" s="736"/>
      <c r="K129" s="736"/>
      <c r="L129" s="736"/>
      <c r="M129" s="737"/>
      <c r="N129" s="1184"/>
      <c r="O129" s="1184"/>
      <c r="P129" s="1173"/>
      <c r="Q129" s="68"/>
    </row>
    <row r="130" spans="1:17" ht="14.25" thickTop="1">
      <c r="A130" s="127"/>
      <c r="B130" s="919">
        <f>B46</f>
        <v>111</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row r="136" spans="1:17" ht="14.25" thickBot="1">
      <c r="B136" s="1934" t="s">
        <v>2198</v>
      </c>
    </row>
    <row r="137" spans="1:17" ht="14.25">
      <c r="B137" s="2180" t="s">
        <v>2179</v>
      </c>
      <c r="C137" s="2181"/>
      <c r="D137" s="2181"/>
      <c r="E137" s="2181"/>
      <c r="F137" s="2181"/>
      <c r="G137" s="2182"/>
      <c r="H137" s="2183"/>
      <c r="I137" s="2184" t="s">
        <v>2180</v>
      </c>
      <c r="J137" s="2181"/>
      <c r="K137" s="2185"/>
    </row>
    <row r="138" spans="1:17" ht="14.25">
      <c r="B138" s="1935"/>
      <c r="C138" s="1610" t="s">
        <v>2181</v>
      </c>
      <c r="D138" s="1610" t="s">
        <v>2182</v>
      </c>
      <c r="E138" s="1939" t="s">
        <v>2183</v>
      </c>
      <c r="F138" s="1940" t="s">
        <v>2184</v>
      </c>
      <c r="G138" s="1610" t="s">
        <v>2182</v>
      </c>
      <c r="H138" s="1941" t="s">
        <v>2183</v>
      </c>
      <c r="I138" s="1942"/>
      <c r="J138" s="1610" t="s">
        <v>2185</v>
      </c>
      <c r="K138" s="1941" t="s">
        <v>2186</v>
      </c>
    </row>
    <row r="139" spans="1:17" ht="15">
      <c r="B139" s="1936">
        <v>6</v>
      </c>
      <c r="C139" s="1956">
        <v>96</v>
      </c>
      <c r="D139" s="1957" t="s">
        <v>2187</v>
      </c>
      <c r="E139" s="1958">
        <v>100</v>
      </c>
      <c r="F139" s="1959">
        <v>102.5</v>
      </c>
      <c r="G139" s="1957" t="s">
        <v>2187</v>
      </c>
      <c r="H139" s="1960">
        <v>105</v>
      </c>
      <c r="I139" s="1943" t="s">
        <v>2188</v>
      </c>
      <c r="J139" s="1956">
        <v>20</v>
      </c>
      <c r="K139" s="1946">
        <f>C145/(J139-2)</f>
        <v>4.0555555555555553E-3</v>
      </c>
    </row>
    <row r="140" spans="1:17" ht="15">
      <c r="B140" s="1937">
        <v>5</v>
      </c>
      <c r="C140" s="1961">
        <v>100</v>
      </c>
      <c r="D140" s="1962"/>
      <c r="E140" s="1963"/>
      <c r="F140" s="1964">
        <v>102</v>
      </c>
      <c r="G140" s="1962"/>
      <c r="H140" s="1965"/>
      <c r="I140" s="1944" t="s">
        <v>2189</v>
      </c>
      <c r="J140" s="434">
        <f>ROUNDUP((J139-1)/2,0)</f>
        <v>10</v>
      </c>
      <c r="K140" s="1947">
        <v>100</v>
      </c>
    </row>
    <row r="141" spans="1:17" ht="15">
      <c r="B141" s="1937">
        <v>4</v>
      </c>
      <c r="C141" s="1961">
        <v>102</v>
      </c>
      <c r="D141" s="1962"/>
      <c r="E141" s="1963"/>
      <c r="F141" s="1964">
        <v>101.5</v>
      </c>
      <c r="G141" s="1962"/>
      <c r="H141" s="1965"/>
      <c r="I141" s="1944" t="s">
        <v>2190</v>
      </c>
      <c r="J141" s="434">
        <v>1</v>
      </c>
      <c r="K141" s="1948">
        <f>ROUND(100+(J141-J140)*K139*100,1)</f>
        <v>96.4</v>
      </c>
    </row>
    <row r="142" spans="1:17" ht="15">
      <c r="B142" s="1937">
        <v>3</v>
      </c>
      <c r="C142" s="1961">
        <v>103</v>
      </c>
      <c r="D142" s="1962"/>
      <c r="E142" s="1963"/>
      <c r="F142" s="1964">
        <v>101</v>
      </c>
      <c r="G142" s="1962"/>
      <c r="H142" s="1965"/>
      <c r="I142" s="1944" t="s">
        <v>2191</v>
      </c>
      <c r="J142" s="434">
        <f>J139</f>
        <v>20</v>
      </c>
      <c r="K142" s="1967">
        <v>95</v>
      </c>
    </row>
    <row r="143" spans="1:17" ht="15">
      <c r="B143" s="1937">
        <v>2</v>
      </c>
      <c r="C143" s="1961">
        <v>100</v>
      </c>
      <c r="D143" s="1962"/>
      <c r="E143" s="1963"/>
      <c r="F143" s="1964">
        <v>100.5</v>
      </c>
      <c r="G143" s="1962"/>
      <c r="H143" s="1965"/>
      <c r="I143" s="1944" t="s">
        <v>2192</v>
      </c>
      <c r="J143" s="1961">
        <v>15</v>
      </c>
      <c r="K143" s="1948">
        <f>ROUND(100+(J143-J140)*K139*100,1)</f>
        <v>102</v>
      </c>
    </row>
    <row r="144" spans="1:17" ht="15">
      <c r="B144" s="1937">
        <v>1</v>
      </c>
      <c r="C144" s="1961">
        <v>98</v>
      </c>
      <c r="D144" s="1021" t="s">
        <v>2193</v>
      </c>
      <c r="E144" s="1963">
        <v>102</v>
      </c>
      <c r="F144" s="1966">
        <v>100</v>
      </c>
      <c r="G144" s="1021" t="s">
        <v>2193</v>
      </c>
      <c r="H144" s="1965">
        <v>105</v>
      </c>
      <c r="I144" s="1944" t="s">
        <v>2192</v>
      </c>
      <c r="J144" s="1961">
        <v>18</v>
      </c>
      <c r="K144" s="1948">
        <f>ROUND(100+(J144-J140)*K139*100,1)</f>
        <v>103.2</v>
      </c>
    </row>
    <row r="145" spans="2:11" ht="15.75" thickBot="1">
      <c r="B145" s="1938" t="s">
        <v>2194</v>
      </c>
      <c r="C145" s="1950">
        <f>ROUND(MAX(C139:C144)/MIN(C139:C144)-1,3)</f>
        <v>7.2999999999999995E-2</v>
      </c>
      <c r="D145" s="1951"/>
      <c r="E145" s="1952"/>
      <c r="F145" s="1953" t="s">
        <v>2197</v>
      </c>
      <c r="G145" s="1954"/>
      <c r="H145" s="1955"/>
      <c r="I145" s="1945" t="s">
        <v>2192</v>
      </c>
      <c r="J145" s="1968">
        <v>8</v>
      </c>
      <c r="K145" s="1949">
        <f>ROUND(100+(J145-J140)*K139*100,1)</f>
        <v>99.2</v>
      </c>
    </row>
    <row r="147" spans="2:11">
      <c r="B147" s="1934" t="s">
        <v>2217</v>
      </c>
    </row>
    <row r="148" spans="2:11">
      <c r="B148" s="1934" t="s">
        <v>2218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5"/>
      <c r="Q2" s="1126"/>
      <c r="R2" s="1126"/>
      <c r="S2" s="1126"/>
      <c r="T2" s="1126"/>
      <c r="U2" s="1126"/>
      <c r="V2" s="1126"/>
      <c r="W2" s="1126"/>
      <c r="X2" s="1126"/>
      <c r="Y2" s="1126"/>
      <c r="Z2" s="1126"/>
      <c r="AA2" s="1126"/>
      <c r="AB2" s="1126"/>
      <c r="AC2" s="1127"/>
    </row>
    <row r="3" spans="1:29" s="37" customFormat="1" ht="28.5" customHeight="1" thickBot="1">
      <c r="A3" s="34" t="s">
        <v>181</v>
      </c>
      <c r="B3" s="811" t="e">
        <f ca="1">ROUND(IF(D2="——",C49,IF(C2="万元",B2*10000/D3,B2/D3)),0)</f>
        <v>#DIV/0!</v>
      </c>
      <c r="C3" s="89" t="s">
        <v>173</v>
      </c>
      <c r="D3" s="596">
        <f>IF(C1="仅计算典型户型",'数据-取费表'!E5,'数据-取费表'!B5)</f>
        <v>255.46</v>
      </c>
      <c r="E3" s="1635"/>
      <c r="F3" s="2186"/>
      <c r="G3" s="2187"/>
      <c r="H3" s="2187"/>
      <c r="I3" s="2187"/>
      <c r="J3" s="2187"/>
      <c r="K3" s="2190"/>
      <c r="L3" s="2188"/>
      <c r="M3" s="2189"/>
      <c r="N3" s="2189"/>
      <c r="O3" s="2189"/>
      <c r="P3" s="1125"/>
      <c r="Q3" s="1126"/>
      <c r="R3" s="1126"/>
      <c r="S3" s="1126"/>
      <c r="T3" s="1126"/>
      <c r="U3" s="1126"/>
      <c r="V3" s="1126"/>
      <c r="W3" s="1126"/>
      <c r="X3" s="1126"/>
      <c r="Y3" s="1126"/>
      <c r="Z3" s="1126"/>
      <c r="AA3" s="1126"/>
      <c r="AB3" s="1126"/>
      <c r="AC3" s="1186"/>
    </row>
    <row r="4" spans="1:29">
      <c r="A4" s="90" t="s">
        <v>49</v>
      </c>
      <c r="B4" s="91"/>
      <c r="C4" s="3401" t="s">
        <v>50</v>
      </c>
      <c r="D4" s="3402"/>
      <c r="E4" s="3403" t="s">
        <v>51</v>
      </c>
      <c r="F4" s="3404"/>
      <c r="G4" s="3401" t="s">
        <v>52</v>
      </c>
      <c r="H4" s="3402"/>
      <c r="I4" s="3401" t="s">
        <v>53</v>
      </c>
      <c r="J4" s="3402"/>
      <c r="K4" s="139" t="s">
        <v>54</v>
      </c>
      <c r="L4" s="2162"/>
      <c r="M4" s="2163"/>
      <c r="N4" s="2163"/>
      <c r="O4" s="2163"/>
      <c r="P4" s="3405" t="s">
        <v>49</v>
      </c>
      <c r="Q4" s="3406"/>
      <c r="R4" s="3411" t="s">
        <v>51</v>
      </c>
      <c r="S4" s="3412"/>
      <c r="T4" s="3411" t="s">
        <v>52</v>
      </c>
      <c r="U4" s="3412"/>
      <c r="V4" s="3417" t="s">
        <v>53</v>
      </c>
      <c r="W4" s="3417"/>
      <c r="X4" s="1132"/>
      <c r="Y4" s="3411" t="s">
        <v>49</v>
      </c>
      <c r="Z4" s="3412"/>
      <c r="AA4" s="3398" t="s">
        <v>51</v>
      </c>
      <c r="AB4" s="3417" t="s">
        <v>52</v>
      </c>
      <c r="AC4" s="3398" t="s">
        <v>53</v>
      </c>
    </row>
    <row r="5" spans="1:29">
      <c r="A5" s="93"/>
      <c r="B5" s="94"/>
      <c r="C5" s="3420" t="s">
        <v>55</v>
      </c>
      <c r="D5" s="3421"/>
      <c r="E5" s="3418" t="s">
        <v>56</v>
      </c>
      <c r="F5" s="3419"/>
      <c r="G5" s="3420" t="s">
        <v>57</v>
      </c>
      <c r="H5" s="3421"/>
      <c r="I5" s="3420" t="s">
        <v>58</v>
      </c>
      <c r="J5" s="3421"/>
      <c r="K5" s="139"/>
      <c r="L5" s="2162"/>
      <c r="M5" s="2163"/>
      <c r="N5" s="2163"/>
      <c r="O5" s="2163"/>
      <c r="P5" s="3407"/>
      <c r="Q5" s="3408"/>
      <c r="R5" s="3413"/>
      <c r="S5" s="3414"/>
      <c r="T5" s="3413"/>
      <c r="U5" s="3414"/>
      <c r="V5" s="3417"/>
      <c r="W5" s="3417"/>
      <c r="X5" s="1132"/>
      <c r="Y5" s="3413"/>
      <c r="Z5" s="3414"/>
      <c r="AA5" s="3399"/>
      <c r="AB5" s="3417"/>
      <c r="AC5" s="3399"/>
    </row>
    <row r="6" spans="1:29" ht="14.25" thickBot="1">
      <c r="A6" s="95"/>
      <c r="B6" s="96"/>
      <c r="C6" s="3422" t="s">
        <v>59</v>
      </c>
      <c r="D6" s="3423"/>
      <c r="E6" s="3424" t="s">
        <v>59</v>
      </c>
      <c r="F6" s="3425"/>
      <c r="G6" s="3422" t="s">
        <v>59</v>
      </c>
      <c r="H6" s="3423"/>
      <c r="I6" s="3422" t="s">
        <v>59</v>
      </c>
      <c r="J6" s="3423"/>
      <c r="K6" s="139" t="s">
        <v>119</v>
      </c>
      <c r="L6" s="2162"/>
      <c r="M6" s="2163"/>
      <c r="N6" s="2163"/>
      <c r="O6" s="2163"/>
      <c r="P6" s="3409"/>
      <c r="Q6" s="3410"/>
      <c r="R6" s="3413"/>
      <c r="S6" s="3414"/>
      <c r="T6" s="3415"/>
      <c r="U6" s="3416"/>
      <c r="V6" s="3417"/>
      <c r="W6" s="3417"/>
      <c r="X6" s="1132"/>
      <c r="Y6" s="3415"/>
      <c r="Z6" s="3416"/>
      <c r="AA6" s="3400"/>
      <c r="AB6" s="3417"/>
      <c r="AC6" s="3400"/>
    </row>
    <row r="7" spans="1:29" s="11" customFormat="1" ht="15" thickBot="1">
      <c r="A7" s="872" t="s">
        <v>60</v>
      </c>
      <c r="B7" s="873"/>
      <c r="C7" s="874">
        <f>'数据-取费表'!B2</f>
        <v>42998</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33" t="s">
        <v>60</v>
      </c>
      <c r="Q7" s="3435"/>
      <c r="R7" s="1134" t="s">
        <v>61</v>
      </c>
      <c r="S7" s="1135">
        <f t="shared" ref="S7:S15" si="0">F7</f>
        <v>0</v>
      </c>
      <c r="T7" s="1134" t="s">
        <v>61</v>
      </c>
      <c r="U7" s="1135">
        <f t="shared" ref="U7:U15" si="1">H7</f>
        <v>0</v>
      </c>
      <c r="V7" s="1134" t="s">
        <v>61</v>
      </c>
      <c r="W7" s="1135">
        <f t="shared" ref="W7:W15" si="2">J7</f>
        <v>0</v>
      </c>
      <c r="X7" s="184"/>
      <c r="Y7" s="3433" t="s">
        <v>60</v>
      </c>
      <c r="Z7" s="3434"/>
      <c r="AA7" s="1136" t="e">
        <f>D7/F7</f>
        <v>#DIV/0!</v>
      </c>
      <c r="AB7" s="1136" t="e">
        <f>D7/H7</f>
        <v>#DIV/0!</v>
      </c>
      <c r="AC7" s="1136"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33" t="s">
        <v>937</v>
      </c>
      <c r="Q8" s="3434"/>
      <c r="R8" s="1134" t="s">
        <v>61</v>
      </c>
      <c r="S8" s="1135">
        <f t="shared" si="0"/>
        <v>0</v>
      </c>
      <c r="T8" s="1134" t="s">
        <v>61</v>
      </c>
      <c r="U8" s="1135">
        <f t="shared" si="1"/>
        <v>0</v>
      </c>
      <c r="V8" s="1134" t="s">
        <v>61</v>
      </c>
      <c r="W8" s="1135">
        <f t="shared" si="2"/>
        <v>0</v>
      </c>
      <c r="X8" s="184"/>
      <c r="Y8" s="3433" t="s">
        <v>937</v>
      </c>
      <c r="Z8" s="3434"/>
      <c r="AA8" s="1136" t="e">
        <f t="shared" ref="AA8:AA46" si="3">D8/F8</f>
        <v>#DIV/0!</v>
      </c>
      <c r="AB8" s="1136" t="e">
        <f t="shared" ref="AB8:AB46" si="4">D8/H8</f>
        <v>#DIV/0!</v>
      </c>
      <c r="AC8" s="1136" t="e">
        <f t="shared" ref="AC8:AC46" si="5">D8/J8</f>
        <v>#DIV/0!</v>
      </c>
    </row>
    <row r="9" spans="1:29" s="11" customFormat="1" ht="14.25">
      <c r="A9" s="879" t="s">
        <v>938</v>
      </c>
      <c r="B9" s="20" t="s">
        <v>939</v>
      </c>
      <c r="C9" s="1138"/>
      <c r="D9" s="234">
        <v>100</v>
      </c>
      <c r="E9" s="1139"/>
      <c r="F9" s="616">
        <f>SUMIF(63:63,E9,64:64)-SUMIF(63:63,C9,64:64)+100</f>
        <v>100</v>
      </c>
      <c r="G9" s="1139"/>
      <c r="H9" s="234">
        <f>SUMIF(63:63,G9,64:64)-SUMIF(63:63,C9,64:64)+100</f>
        <v>100</v>
      </c>
      <c r="I9" s="1139"/>
      <c r="J9" s="234">
        <f>SUMIF(63:63,I9,64:64)-SUMIF(63:63,C9,64:64)+100</f>
        <v>100</v>
      </c>
      <c r="K9" s="877"/>
      <c r="L9" s="2164"/>
      <c r="M9" s="2106"/>
      <c r="N9" s="2106"/>
      <c r="O9" s="2106"/>
      <c r="P9" s="3436"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814"/>
      <c r="L10" s="2165"/>
      <c r="M10" s="2166"/>
      <c r="N10" s="2166"/>
      <c r="O10" s="2166"/>
      <c r="P10" s="3436"/>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36"/>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36"/>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36"/>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36"/>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39" t="s">
        <v>65</v>
      </c>
      <c r="Q15" s="1144" t="str">
        <f t="shared" si="6"/>
        <v>商业繁华度</v>
      </c>
      <c r="R15" s="1145" t="s">
        <v>61</v>
      </c>
      <c r="S15" s="1146">
        <f t="shared" si="0"/>
        <v>100</v>
      </c>
      <c r="T15" s="1145" t="s">
        <v>61</v>
      </c>
      <c r="U15" s="1146">
        <f t="shared" si="1"/>
        <v>100</v>
      </c>
      <c r="V15" s="1145" t="s">
        <v>61</v>
      </c>
      <c r="W15" s="1146">
        <f t="shared" si="2"/>
        <v>100</v>
      </c>
      <c r="X15" s="1132"/>
      <c r="Y15" s="3426" t="s">
        <v>65</v>
      </c>
      <c r="Z15" s="1147" t="str">
        <f t="shared" si="7"/>
        <v>商业繁华度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163"/>
      <c r="P16" s="3440"/>
      <c r="Q16" s="1144"/>
      <c r="R16" s="1145"/>
      <c r="S16" s="1146"/>
      <c r="T16" s="1145"/>
      <c r="U16" s="1146"/>
      <c r="V16" s="1145"/>
      <c r="W16" s="1146"/>
      <c r="X16" s="1132"/>
      <c r="Y16" s="3427"/>
      <c r="Z16" s="1147"/>
      <c r="AA16" s="1148">
        <v>1</v>
      </c>
      <c r="AB16" s="1148">
        <v>1</v>
      </c>
      <c r="AC16" s="1148">
        <v>1</v>
      </c>
    </row>
    <row r="17" spans="1:29" ht="94.5">
      <c r="A17" s="98"/>
      <c r="B17" s="1149"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40"/>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163"/>
      <c r="P18" s="3440"/>
      <c r="Q18" s="1144"/>
      <c r="R18" s="1145"/>
      <c r="S18" s="1146"/>
      <c r="T18" s="1145"/>
      <c r="U18" s="1146"/>
      <c r="V18" s="1145"/>
      <c r="W18" s="1146"/>
      <c r="X18" s="1132"/>
      <c r="Y18" s="3427"/>
      <c r="Z18" s="1147"/>
      <c r="AA18" s="1148">
        <v>1</v>
      </c>
      <c r="AB18" s="1148">
        <v>1</v>
      </c>
      <c r="AC18" s="1148">
        <v>1</v>
      </c>
    </row>
    <row r="19" spans="1:29" ht="40.5">
      <c r="A19" s="98"/>
      <c r="B19" s="1149" t="s">
        <v>2549</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40"/>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41"/>
      <c r="L20" s="2168"/>
      <c r="M20" s="2163"/>
      <c r="N20" s="2163"/>
      <c r="O20" s="2163"/>
      <c r="P20" s="3440"/>
      <c r="Q20" s="1144"/>
      <c r="R20" s="1145"/>
      <c r="S20" s="1146"/>
      <c r="T20" s="1145"/>
      <c r="U20" s="1146"/>
      <c r="V20" s="1145"/>
      <c r="W20" s="1146"/>
      <c r="X20" s="1132"/>
      <c r="Y20" s="3427"/>
      <c r="Z20" s="1147"/>
      <c r="AA20" s="1148">
        <v>1</v>
      </c>
      <c r="AB20" s="1148">
        <v>1</v>
      </c>
      <c r="AC20" s="1148">
        <v>1</v>
      </c>
    </row>
    <row r="21" spans="1:29" ht="40.5">
      <c r="A21" s="98"/>
      <c r="B21" s="1204" t="s">
        <v>2550</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40"/>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163"/>
      <c r="P22" s="3440"/>
      <c r="Q22" s="2548"/>
      <c r="R22" s="1145"/>
      <c r="S22" s="1146"/>
      <c r="T22" s="1145"/>
      <c r="U22" s="1146"/>
      <c r="V22" s="1145"/>
      <c r="W22" s="1146"/>
      <c r="X22" s="2546"/>
      <c r="Y22" s="3427"/>
      <c r="Z22" s="2547"/>
      <c r="AA22" s="1148">
        <v>1</v>
      </c>
      <c r="AB22" s="1148">
        <v>1</v>
      </c>
      <c r="AC22" s="1148">
        <v>1</v>
      </c>
    </row>
    <row r="23" spans="1:29" ht="54">
      <c r="A23" s="98"/>
      <c r="B23" s="1149"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40"/>
      <c r="Q23" s="1144" t="str">
        <f>B23</f>
        <v>自然及人文环境</v>
      </c>
      <c r="R23" s="1145" t="s">
        <v>61</v>
      </c>
      <c r="S23" s="1146">
        <f>F23</f>
        <v>100</v>
      </c>
      <c r="T23" s="1145" t="s">
        <v>61</v>
      </c>
      <c r="U23" s="1146">
        <f>H23</f>
        <v>100</v>
      </c>
      <c r="V23" s="1145" t="s">
        <v>61</v>
      </c>
      <c r="W23" s="1146">
        <f>J23</f>
        <v>100</v>
      </c>
      <c r="X23" s="1132"/>
      <c r="Y23" s="3427"/>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41"/>
      <c r="L24" s="2168"/>
      <c r="M24" s="2163"/>
      <c r="N24" s="2163"/>
      <c r="O24" s="2163"/>
      <c r="P24" s="3440"/>
      <c r="Q24" s="1144"/>
      <c r="R24" s="1145"/>
      <c r="S24" s="1146"/>
      <c r="T24" s="1145"/>
      <c r="U24" s="1146"/>
      <c r="V24" s="1145"/>
      <c r="W24" s="1146"/>
      <c r="X24" s="1132"/>
      <c r="Y24" s="3427"/>
      <c r="Z24" s="1147"/>
      <c r="AA24" s="1148">
        <v>1</v>
      </c>
      <c r="AB24" s="1148">
        <v>1</v>
      </c>
      <c r="AC24" s="1148">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40"/>
      <c r="Q25" s="1144" t="str">
        <f t="shared" ref="Q25:Q46" si="11">B25</f>
        <v>临街状况</v>
      </c>
      <c r="R25" s="1145" t="s">
        <v>61</v>
      </c>
      <c r="S25" s="1146">
        <f>F25</f>
        <v>100</v>
      </c>
      <c r="T25" s="1145" t="s">
        <v>61</v>
      </c>
      <c r="U25" s="1146">
        <f>H25</f>
        <v>100</v>
      </c>
      <c r="V25" s="1145" t="s">
        <v>61</v>
      </c>
      <c r="W25" s="1146">
        <f>J25</f>
        <v>100</v>
      </c>
      <c r="X25" s="1132"/>
      <c r="Y25" s="3427"/>
      <c r="Z25" s="1147" t="str">
        <f>Q25</f>
        <v>临街状况</v>
      </c>
      <c r="AA25" s="1148">
        <f t="shared" si="3"/>
        <v>1</v>
      </c>
      <c r="AB25" s="1148">
        <f t="shared" si="4"/>
        <v>1</v>
      </c>
      <c r="AC25" s="1148">
        <f t="shared" si="5"/>
        <v>1</v>
      </c>
    </row>
    <row r="26" spans="1:29" ht="14.25">
      <c r="A26" s="98"/>
      <c r="B26" s="1150" t="s">
        <v>940</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40"/>
      <c r="Q26" s="1144" t="str">
        <f t="shared" si="11"/>
        <v>平面位置/可视性</v>
      </c>
      <c r="R26" s="1145" t="s">
        <v>61</v>
      </c>
      <c r="S26" s="1146">
        <f>F26</f>
        <v>100</v>
      </c>
      <c r="T26" s="1145" t="s">
        <v>61</v>
      </c>
      <c r="U26" s="1146">
        <f>H26</f>
        <v>100</v>
      </c>
      <c r="V26" s="1145" t="s">
        <v>61</v>
      </c>
      <c r="W26" s="1146">
        <f>J26</f>
        <v>100</v>
      </c>
      <c r="X26" s="1132"/>
      <c r="Y26" s="3427"/>
      <c r="Z26" s="1147" t="str">
        <f>Q26</f>
        <v>平面位置/可视性</v>
      </c>
      <c r="AA26" s="1148">
        <f t="shared" si="3"/>
        <v>1</v>
      </c>
      <c r="AB26" s="1148">
        <f t="shared" si="4"/>
        <v>1</v>
      </c>
      <c r="AC26" s="1148">
        <f t="shared" si="5"/>
        <v>1</v>
      </c>
    </row>
    <row r="27" spans="1:29" s="11" customFormat="1" ht="15">
      <c r="A27" s="888"/>
      <c r="B27" s="1149" t="s">
        <v>941</v>
      </c>
      <c r="C27" s="1181"/>
      <c r="D27" s="661">
        <v>100</v>
      </c>
      <c r="E27" s="1181"/>
      <c r="F27" s="663">
        <f>SUMIF(90:90,E27,91:91)-SUMIF(90:90,C27,91:91)+100</f>
        <v>100</v>
      </c>
      <c r="G27" s="1181"/>
      <c r="H27" s="661">
        <f>SUMIF(90:90,G27,91:91)-SUMIF(90:90,C27,91:91)+100</f>
        <v>100</v>
      </c>
      <c r="I27" s="1181"/>
      <c r="J27" s="661">
        <f>SUMIF(90:90,I27,91:91)-SUMIF(90:90,C27,91:91)+100</f>
        <v>100</v>
      </c>
      <c r="K27" s="814"/>
      <c r="L27" s="2164"/>
      <c r="M27" s="2106"/>
      <c r="N27" s="2106"/>
      <c r="O27" s="2106"/>
      <c r="P27" s="3440"/>
      <c r="Q27" s="2" t="str">
        <f t="shared" si="11"/>
        <v>人流量</v>
      </c>
      <c r="R27" s="1134" t="s">
        <v>61</v>
      </c>
      <c r="S27" s="1135">
        <f>F27</f>
        <v>100</v>
      </c>
      <c r="T27" s="1134" t="s">
        <v>61</v>
      </c>
      <c r="U27" s="1135">
        <f>H27</f>
        <v>100</v>
      </c>
      <c r="V27" s="1134" t="s">
        <v>61</v>
      </c>
      <c r="W27" s="1135">
        <f>J27</f>
        <v>100</v>
      </c>
      <c r="X27" s="184"/>
      <c r="Y27" s="3427"/>
      <c r="Z27" s="185" t="str">
        <f>Q27</f>
        <v>人流量</v>
      </c>
      <c r="AA27" s="1148">
        <f>D27/F27</f>
        <v>1</v>
      </c>
      <c r="AB27" s="1148">
        <f>D27/H27</f>
        <v>1</v>
      </c>
      <c r="AC27" s="1148">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40"/>
      <c r="Q28" s="1144" t="str">
        <f t="shared" si="11"/>
        <v>楼层</v>
      </c>
      <c r="R28" s="1145" t="s">
        <v>61</v>
      </c>
      <c r="S28" s="1146">
        <f t="shared" ref="S28:S46" si="12">F28</f>
        <v>100</v>
      </c>
      <c r="T28" s="1145" t="s">
        <v>61</v>
      </c>
      <c r="U28" s="1146">
        <f t="shared" ref="U28:U46" si="13">H28</f>
        <v>100</v>
      </c>
      <c r="V28" s="1145" t="s">
        <v>61</v>
      </c>
      <c r="W28" s="1146">
        <f t="shared" ref="W28:W46" si="14">J28</f>
        <v>100</v>
      </c>
      <c r="X28" s="1132"/>
      <c r="Y28" s="3427"/>
      <c r="Z28" s="1147" t="str">
        <f t="shared" ref="Z28:Z46" si="15">Q28</f>
        <v>楼层</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40"/>
      <c r="Q29" s="1144">
        <f t="shared" si="11"/>
        <v>111</v>
      </c>
      <c r="R29" s="1145" t="s">
        <v>61</v>
      </c>
      <c r="S29" s="1146">
        <f t="shared" si="12"/>
        <v>100</v>
      </c>
      <c r="T29" s="1145" t="s">
        <v>61</v>
      </c>
      <c r="U29" s="1146">
        <f t="shared" si="13"/>
        <v>100</v>
      </c>
      <c r="V29" s="1145" t="s">
        <v>61</v>
      </c>
      <c r="W29" s="1146">
        <f t="shared" si="14"/>
        <v>100</v>
      </c>
      <c r="X29" s="1132"/>
      <c r="Y29" s="3427"/>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40"/>
      <c r="Q30" s="1144">
        <f t="shared" si="11"/>
        <v>111</v>
      </c>
      <c r="R30" s="1145" t="s">
        <v>61</v>
      </c>
      <c r="S30" s="1146">
        <f t="shared" si="12"/>
        <v>100</v>
      </c>
      <c r="T30" s="1145" t="s">
        <v>61</v>
      </c>
      <c r="U30" s="1146">
        <f t="shared" si="13"/>
        <v>100</v>
      </c>
      <c r="V30" s="1145" t="s">
        <v>61</v>
      </c>
      <c r="W30" s="1146">
        <f t="shared" si="14"/>
        <v>100</v>
      </c>
      <c r="X30" s="1132"/>
      <c r="Y30" s="3427"/>
      <c r="Z30" s="1147">
        <f t="shared" si="15"/>
        <v>111</v>
      </c>
      <c r="AA30" s="1148">
        <f t="shared" si="3"/>
        <v>1</v>
      </c>
      <c r="AB30" s="1148">
        <f t="shared" si="4"/>
        <v>1</v>
      </c>
      <c r="AC30" s="1148">
        <f t="shared" si="5"/>
        <v>1</v>
      </c>
    </row>
    <row r="31" spans="1:29" ht="15" thickBot="1">
      <c r="A31" s="101"/>
      <c r="B31" s="1150">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40"/>
      <c r="Q31" s="1144">
        <f t="shared" si="11"/>
        <v>111</v>
      </c>
      <c r="R31" s="1145" t="s">
        <v>61</v>
      </c>
      <c r="S31" s="1146">
        <f t="shared" si="12"/>
        <v>100</v>
      </c>
      <c r="T31" s="1145" t="s">
        <v>61</v>
      </c>
      <c r="U31" s="1146">
        <f t="shared" si="13"/>
        <v>100</v>
      </c>
      <c r="V31" s="1145" t="s">
        <v>61</v>
      </c>
      <c r="W31" s="1146">
        <f t="shared" si="14"/>
        <v>100</v>
      </c>
      <c r="X31" s="1132"/>
      <c r="Y31" s="3427"/>
      <c r="Z31" s="1147">
        <f t="shared" si="15"/>
        <v>111</v>
      </c>
      <c r="AA31" s="1148">
        <f t="shared" si="3"/>
        <v>1</v>
      </c>
      <c r="AB31" s="1148">
        <f t="shared" si="4"/>
        <v>1</v>
      </c>
      <c r="AC31" s="1148">
        <f t="shared" si="5"/>
        <v>1</v>
      </c>
    </row>
    <row r="32" spans="1:29" ht="15">
      <c r="A32" s="105" t="s">
        <v>942</v>
      </c>
      <c r="B32" s="20" t="s">
        <v>943</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28" t="s">
        <v>944</v>
      </c>
      <c r="Q32" s="1144" t="str">
        <f t="shared" si="11"/>
        <v>商业类型</v>
      </c>
      <c r="R32" s="1145" t="s">
        <v>61</v>
      </c>
      <c r="S32" s="1146">
        <f t="shared" si="12"/>
        <v>100</v>
      </c>
      <c r="T32" s="1145" t="s">
        <v>61</v>
      </c>
      <c r="U32" s="1146">
        <f t="shared" si="13"/>
        <v>100</v>
      </c>
      <c r="V32" s="1145" t="s">
        <v>61</v>
      </c>
      <c r="W32" s="1146">
        <f t="shared" si="14"/>
        <v>100</v>
      </c>
      <c r="X32" s="1132"/>
      <c r="Y32" s="3431" t="s">
        <v>944</v>
      </c>
      <c r="Z32" s="1147" t="str">
        <f t="shared" si="15"/>
        <v>商业类型</v>
      </c>
      <c r="AA32" s="1148">
        <f t="shared" si="3"/>
        <v>1</v>
      </c>
      <c r="AB32" s="1148">
        <f t="shared" si="4"/>
        <v>1</v>
      </c>
      <c r="AC32" s="1148">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29"/>
      <c r="Q33" s="1152" t="str">
        <f t="shared" si="11"/>
        <v>项目建筑规模</v>
      </c>
      <c r="R33" s="1153" t="s">
        <v>61</v>
      </c>
      <c r="S33" s="1154" t="e">
        <f t="shared" si="12"/>
        <v>#N/A</v>
      </c>
      <c r="T33" s="1153" t="s">
        <v>61</v>
      </c>
      <c r="U33" s="1154" t="e">
        <f t="shared" si="13"/>
        <v>#N/A</v>
      </c>
      <c r="V33" s="1153" t="s">
        <v>61</v>
      </c>
      <c r="W33" s="1154" t="e">
        <f t="shared" si="14"/>
        <v>#N/A</v>
      </c>
      <c r="X33" s="1155"/>
      <c r="Y33" s="3431"/>
      <c r="Z33" s="1156" t="str">
        <f t="shared" si="15"/>
        <v>项目建筑规模</v>
      </c>
      <c r="AA33" s="1148" t="e">
        <f t="shared" si="3"/>
        <v>#N/A</v>
      </c>
      <c r="AB33" s="1148" t="e">
        <f t="shared" si="4"/>
        <v>#N/A</v>
      </c>
      <c r="AC33" s="1148"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29"/>
      <c r="Q34" s="1144" t="str">
        <f t="shared" si="11"/>
        <v>建筑结构</v>
      </c>
      <c r="R34" s="1145" t="s">
        <v>61</v>
      </c>
      <c r="S34" s="1146">
        <f t="shared" si="12"/>
        <v>100</v>
      </c>
      <c r="T34" s="1145" t="s">
        <v>61</v>
      </c>
      <c r="U34" s="1146">
        <f t="shared" si="13"/>
        <v>100</v>
      </c>
      <c r="V34" s="1145" t="s">
        <v>61</v>
      </c>
      <c r="W34" s="1146">
        <f t="shared" si="14"/>
        <v>100</v>
      </c>
      <c r="X34" s="1132"/>
      <c r="Y34" s="3431"/>
      <c r="Z34" s="1147" t="str">
        <f t="shared" si="15"/>
        <v>建筑结构</v>
      </c>
      <c r="AA34" s="1148">
        <f t="shared" si="3"/>
        <v>1</v>
      </c>
      <c r="AB34" s="1148">
        <f t="shared" si="4"/>
        <v>1</v>
      </c>
      <c r="AC34" s="1148">
        <f t="shared" si="5"/>
        <v>1</v>
      </c>
    </row>
    <row r="35" spans="1:29" ht="15">
      <c r="A35" s="111"/>
      <c r="B35" s="4" t="s">
        <v>945</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29"/>
      <c r="Q35" s="1144" t="str">
        <f t="shared" si="11"/>
        <v>公共部分装修</v>
      </c>
      <c r="R35" s="1145" t="s">
        <v>61</v>
      </c>
      <c r="S35" s="1146">
        <f t="shared" si="12"/>
        <v>100</v>
      </c>
      <c r="T35" s="1145" t="s">
        <v>61</v>
      </c>
      <c r="U35" s="1146">
        <f t="shared" si="13"/>
        <v>100</v>
      </c>
      <c r="V35" s="1145" t="s">
        <v>61</v>
      </c>
      <c r="W35" s="1146">
        <f t="shared" si="14"/>
        <v>100</v>
      </c>
      <c r="X35" s="1132"/>
      <c r="Y35" s="3431"/>
      <c r="Z35" s="1147" t="str">
        <f t="shared" si="15"/>
        <v>公共部分装修</v>
      </c>
      <c r="AA35" s="1148">
        <f t="shared" si="3"/>
        <v>1</v>
      </c>
      <c r="AB35" s="1148">
        <f t="shared" si="4"/>
        <v>1</v>
      </c>
      <c r="AC35" s="1148">
        <f t="shared" si="5"/>
        <v>1</v>
      </c>
    </row>
    <row r="36" spans="1:29" ht="15">
      <c r="A36" s="111"/>
      <c r="B36" s="4" t="s">
        <v>946</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29"/>
      <c r="Q36" s="1144" t="str">
        <f t="shared" si="11"/>
        <v>成新度</v>
      </c>
      <c r="R36" s="1145" t="s">
        <v>61</v>
      </c>
      <c r="S36" s="1146" t="e">
        <f t="shared" si="12"/>
        <v>#N/A</v>
      </c>
      <c r="T36" s="1145" t="s">
        <v>61</v>
      </c>
      <c r="U36" s="1146" t="e">
        <f t="shared" si="13"/>
        <v>#N/A</v>
      </c>
      <c r="V36" s="1145" t="s">
        <v>61</v>
      </c>
      <c r="W36" s="1146" t="e">
        <f t="shared" si="14"/>
        <v>#N/A</v>
      </c>
      <c r="X36" s="1132"/>
      <c r="Y36" s="3431"/>
      <c r="Z36" s="1147" t="str">
        <f t="shared" si="15"/>
        <v>成新度</v>
      </c>
      <c r="AA36" s="1148" t="e">
        <f t="shared" si="3"/>
        <v>#N/A</v>
      </c>
      <c r="AB36" s="1148" t="e">
        <f t="shared" si="4"/>
        <v>#N/A</v>
      </c>
      <c r="AC36" s="1148"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29"/>
      <c r="Q37" s="2" t="str">
        <f t="shared" si="11"/>
        <v>市政基础设施</v>
      </c>
      <c r="R37" s="1134" t="s">
        <v>61</v>
      </c>
      <c r="S37" s="1135">
        <f t="shared" si="12"/>
        <v>100</v>
      </c>
      <c r="T37" s="1134" t="s">
        <v>61</v>
      </c>
      <c r="U37" s="1135">
        <f t="shared" si="13"/>
        <v>100</v>
      </c>
      <c r="V37" s="1134" t="s">
        <v>61</v>
      </c>
      <c r="W37" s="1135">
        <f t="shared" si="14"/>
        <v>100</v>
      </c>
      <c r="X37" s="184"/>
      <c r="Y37" s="3431"/>
      <c r="Z37" s="185" t="str">
        <f t="shared" si="15"/>
        <v>市政基础设施</v>
      </c>
      <c r="AA37" s="1136">
        <f t="shared" si="3"/>
        <v>1</v>
      </c>
      <c r="AB37" s="1136">
        <f t="shared" si="4"/>
        <v>1</v>
      </c>
      <c r="AC37" s="1136">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29" t="s">
        <v>947</v>
      </c>
      <c r="Q38" s="1144" t="str">
        <f t="shared" si="11"/>
        <v>业态</v>
      </c>
      <c r="R38" s="1145" t="s">
        <v>61</v>
      </c>
      <c r="S38" s="1146">
        <f t="shared" si="12"/>
        <v>100</v>
      </c>
      <c r="T38" s="1145" t="s">
        <v>61</v>
      </c>
      <c r="U38" s="1146">
        <f t="shared" si="13"/>
        <v>100</v>
      </c>
      <c r="V38" s="1145" t="s">
        <v>61</v>
      </c>
      <c r="W38" s="1146">
        <f t="shared" si="14"/>
        <v>100</v>
      </c>
      <c r="X38" s="1132"/>
      <c r="Y38" s="3431" t="s">
        <v>947</v>
      </c>
      <c r="Z38" s="1147" t="str">
        <f t="shared" si="15"/>
        <v>业态</v>
      </c>
      <c r="AA38" s="1148">
        <f t="shared" si="3"/>
        <v>1</v>
      </c>
      <c r="AB38" s="1148">
        <f t="shared" si="4"/>
        <v>1</v>
      </c>
      <c r="AC38" s="1148">
        <f t="shared" si="5"/>
        <v>1</v>
      </c>
    </row>
    <row r="39" spans="1:29" ht="15">
      <c r="A39" s="111"/>
      <c r="B39" s="4" t="s">
        <v>948</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29"/>
      <c r="Q39" s="1144" t="str">
        <f t="shared" si="11"/>
        <v>层高</v>
      </c>
      <c r="R39" s="1145" t="s">
        <v>61</v>
      </c>
      <c r="S39" s="1146">
        <f t="shared" si="12"/>
        <v>100</v>
      </c>
      <c r="T39" s="1145" t="s">
        <v>61</v>
      </c>
      <c r="U39" s="1146">
        <f t="shared" si="13"/>
        <v>100</v>
      </c>
      <c r="V39" s="1145" t="s">
        <v>61</v>
      </c>
      <c r="W39" s="1146">
        <f t="shared" si="14"/>
        <v>100</v>
      </c>
      <c r="X39" s="1132"/>
      <c r="Y39" s="3431"/>
      <c r="Z39" s="1147" t="str">
        <f t="shared" si="15"/>
        <v>层高</v>
      </c>
      <c r="AA39" s="1148">
        <f t="shared" si="3"/>
        <v>1</v>
      </c>
      <c r="AB39" s="1148">
        <f t="shared" si="4"/>
        <v>1</v>
      </c>
      <c r="AC39" s="1148">
        <f t="shared" si="5"/>
        <v>1</v>
      </c>
    </row>
    <row r="40" spans="1:29" ht="14.25">
      <c r="A40" s="111"/>
      <c r="B40" s="4" t="s">
        <v>949</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29"/>
      <c r="Q40" s="1144" t="str">
        <f t="shared" si="11"/>
        <v>单套建筑面积</v>
      </c>
      <c r="R40" s="1145" t="s">
        <v>61</v>
      </c>
      <c r="S40" s="1146">
        <f t="shared" si="12"/>
        <v>100</v>
      </c>
      <c r="T40" s="1145" t="s">
        <v>61</v>
      </c>
      <c r="U40" s="1146">
        <f t="shared" si="13"/>
        <v>100</v>
      </c>
      <c r="V40" s="1145" t="s">
        <v>61</v>
      </c>
      <c r="W40" s="1146">
        <f t="shared" si="14"/>
        <v>100</v>
      </c>
      <c r="X40" s="1132"/>
      <c r="Y40" s="3431"/>
      <c r="Z40" s="1147" t="str">
        <f t="shared" si="15"/>
        <v>单套建筑面积</v>
      </c>
      <c r="AA40" s="1148">
        <f t="shared" si="3"/>
        <v>1</v>
      </c>
      <c r="AB40" s="1148">
        <f t="shared" si="4"/>
        <v>1</v>
      </c>
      <c r="AC40" s="1148">
        <f t="shared" si="5"/>
        <v>1</v>
      </c>
    </row>
    <row r="41" spans="1:29" s="898" customFormat="1" ht="15">
      <c r="A41" s="902"/>
      <c r="B41" s="143" t="s">
        <v>950</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29"/>
      <c r="Q41" s="1152" t="str">
        <f t="shared" si="11"/>
        <v>进深比</v>
      </c>
      <c r="R41" s="1153" t="s">
        <v>61</v>
      </c>
      <c r="S41" s="1154">
        <f t="shared" si="12"/>
        <v>100</v>
      </c>
      <c r="T41" s="1153" t="s">
        <v>61</v>
      </c>
      <c r="U41" s="1154">
        <f t="shared" si="13"/>
        <v>100</v>
      </c>
      <c r="V41" s="1153" t="s">
        <v>61</v>
      </c>
      <c r="W41" s="1154">
        <f t="shared" si="14"/>
        <v>100</v>
      </c>
      <c r="X41" s="1155"/>
      <c r="Y41" s="3431"/>
      <c r="Z41" s="1156" t="str">
        <f t="shared" si="15"/>
        <v>进深比</v>
      </c>
      <c r="AA41" s="1148">
        <f t="shared" si="3"/>
        <v>1</v>
      </c>
      <c r="AB41" s="1148">
        <f t="shared" si="4"/>
        <v>1</v>
      </c>
      <c r="AC41" s="1148">
        <f t="shared" si="5"/>
        <v>1</v>
      </c>
    </row>
    <row r="42" spans="1:29" ht="15">
      <c r="A42" s="111"/>
      <c r="B42" s="4" t="s">
        <v>951</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29"/>
      <c r="Q42" s="1144" t="str">
        <f t="shared" si="11"/>
        <v>内部装修</v>
      </c>
      <c r="R42" s="1145" t="s">
        <v>61</v>
      </c>
      <c r="S42" s="1146">
        <f t="shared" si="12"/>
        <v>100</v>
      </c>
      <c r="T42" s="1145" t="s">
        <v>61</v>
      </c>
      <c r="U42" s="1146">
        <f t="shared" si="13"/>
        <v>100</v>
      </c>
      <c r="V42" s="1145" t="s">
        <v>61</v>
      </c>
      <c r="W42" s="1146">
        <f t="shared" si="14"/>
        <v>100</v>
      </c>
      <c r="X42" s="1132"/>
      <c r="Y42" s="3431"/>
      <c r="Z42" s="1147" t="str">
        <f t="shared" si="15"/>
        <v>内部装修</v>
      </c>
      <c r="AA42" s="1148">
        <f t="shared" si="3"/>
        <v>1</v>
      </c>
      <c r="AB42" s="1148">
        <f t="shared" si="4"/>
        <v>1</v>
      </c>
      <c r="AC42" s="1148">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29"/>
      <c r="Q43" s="1144" t="str">
        <f t="shared" si="11"/>
        <v>内部装修维护情况</v>
      </c>
      <c r="R43" s="1145" t="s">
        <v>61</v>
      </c>
      <c r="S43" s="1146">
        <f t="shared" si="12"/>
        <v>100</v>
      </c>
      <c r="T43" s="1145" t="s">
        <v>61</v>
      </c>
      <c r="U43" s="1146">
        <f t="shared" si="13"/>
        <v>100</v>
      </c>
      <c r="V43" s="1145" t="s">
        <v>61</v>
      </c>
      <c r="W43" s="1146">
        <f t="shared" si="14"/>
        <v>100</v>
      </c>
      <c r="X43" s="1132"/>
      <c r="Y43" s="3431"/>
      <c r="Z43" s="1147" t="str">
        <f t="shared" si="15"/>
        <v>内部装修维护情况</v>
      </c>
      <c r="AA43" s="1148">
        <f t="shared" si="3"/>
        <v>1</v>
      </c>
      <c r="AB43" s="1148">
        <f t="shared" si="4"/>
        <v>1</v>
      </c>
      <c r="AC43" s="1148">
        <f t="shared" si="5"/>
        <v>1</v>
      </c>
    </row>
    <row r="44" spans="1:29" s="11" customFormat="1" ht="14.25">
      <c r="A44" s="900"/>
      <c r="B44" s="1150">
        <v>111</v>
      </c>
      <c r="C44" s="1151"/>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29"/>
      <c r="Q44" s="2">
        <f t="shared" si="11"/>
        <v>111</v>
      </c>
      <c r="R44" s="1134" t="s">
        <v>61</v>
      </c>
      <c r="S44" s="1135">
        <f t="shared" si="12"/>
        <v>100</v>
      </c>
      <c r="T44" s="1134" t="s">
        <v>61</v>
      </c>
      <c r="U44" s="1135">
        <f t="shared" si="13"/>
        <v>100</v>
      </c>
      <c r="V44" s="1134" t="s">
        <v>61</v>
      </c>
      <c r="W44" s="1135">
        <f t="shared" si="14"/>
        <v>100</v>
      </c>
      <c r="X44" s="184"/>
      <c r="Y44" s="3431"/>
      <c r="Z44" s="185">
        <f t="shared" si="15"/>
        <v>111</v>
      </c>
      <c r="AA44" s="1136">
        <f t="shared" si="3"/>
        <v>1</v>
      </c>
      <c r="AB44" s="1136">
        <f t="shared" si="4"/>
        <v>1</v>
      </c>
      <c r="AC44" s="1136">
        <f t="shared" si="5"/>
        <v>1</v>
      </c>
    </row>
    <row r="45" spans="1:29" ht="14.25">
      <c r="A45" s="111"/>
      <c r="B45" s="1150">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29"/>
      <c r="Q45" s="1144">
        <f t="shared" si="11"/>
        <v>111</v>
      </c>
      <c r="R45" s="1145" t="s">
        <v>61</v>
      </c>
      <c r="S45" s="1146">
        <f t="shared" si="12"/>
        <v>100</v>
      </c>
      <c r="T45" s="1145" t="s">
        <v>61</v>
      </c>
      <c r="U45" s="1146">
        <f t="shared" si="13"/>
        <v>100</v>
      </c>
      <c r="V45" s="1145" t="s">
        <v>61</v>
      </c>
      <c r="W45" s="1146">
        <f t="shared" si="14"/>
        <v>100</v>
      </c>
      <c r="X45" s="1132"/>
      <c r="Y45" s="3431"/>
      <c r="Z45" s="1147">
        <f t="shared" si="15"/>
        <v>111</v>
      </c>
      <c r="AA45" s="1148">
        <f t="shared" si="3"/>
        <v>1</v>
      </c>
      <c r="AB45" s="1148">
        <f t="shared" si="4"/>
        <v>1</v>
      </c>
      <c r="AC45" s="1148">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30"/>
      <c r="Q46" s="1144">
        <f t="shared" si="11"/>
        <v>111</v>
      </c>
      <c r="R46" s="1145" t="s">
        <v>61</v>
      </c>
      <c r="S46" s="1146">
        <f t="shared" si="12"/>
        <v>100</v>
      </c>
      <c r="T46" s="1145" t="s">
        <v>61</v>
      </c>
      <c r="U46" s="1146">
        <f t="shared" si="13"/>
        <v>100</v>
      </c>
      <c r="V46" s="1145" t="s">
        <v>61</v>
      </c>
      <c r="W46" s="1146">
        <f t="shared" si="14"/>
        <v>100</v>
      </c>
      <c r="X46" s="1132"/>
      <c r="Y46" s="3432"/>
      <c r="Z46" s="1147">
        <f t="shared" si="15"/>
        <v>111</v>
      </c>
      <c r="AA46" s="1148">
        <f t="shared" si="3"/>
        <v>1</v>
      </c>
      <c r="AB46" s="1148">
        <f t="shared" si="4"/>
        <v>1</v>
      </c>
      <c r="AC46" s="1148">
        <f t="shared" si="5"/>
        <v>1</v>
      </c>
    </row>
    <row r="47" spans="1:29" ht="15">
      <c r="A47" s="113" t="s">
        <v>952</v>
      </c>
      <c r="B47" s="114"/>
      <c r="C47" s="2608" t="s">
        <v>20</v>
      </c>
      <c r="D47" s="2609"/>
      <c r="E47" s="2610"/>
      <c r="F47" s="2611"/>
      <c r="G47" s="2612"/>
      <c r="H47" s="2613"/>
      <c r="I47" s="2610"/>
      <c r="J47" s="2613"/>
      <c r="K47" s="1187"/>
      <c r="L47" s="2170"/>
      <c r="M47" s="2171"/>
      <c r="N47" s="2163"/>
      <c r="O47" s="2171"/>
      <c r="P47" s="3437" t="str">
        <f>A47</f>
        <v>成交单价（元/平方米）</v>
      </c>
      <c r="Q47" s="3437"/>
      <c r="R47" s="3438">
        <f>E47</f>
        <v>0</v>
      </c>
      <c r="S47" s="3438"/>
      <c r="T47" s="3438">
        <f>G47</f>
        <v>0</v>
      </c>
      <c r="U47" s="3438"/>
      <c r="V47" s="3438">
        <f>I47</f>
        <v>0</v>
      </c>
      <c r="W47" s="3438"/>
      <c r="X47" s="1158"/>
      <c r="Y47" s="1159"/>
      <c r="Z47" s="1158"/>
      <c r="AA47" s="1158"/>
      <c r="AB47" s="1158"/>
      <c r="AC47" s="1158"/>
    </row>
    <row r="48" spans="1:29" ht="15.75" thickBot="1">
      <c r="A48" s="115" t="s">
        <v>953</v>
      </c>
      <c r="B48" s="116"/>
      <c r="C48" s="2614" t="e">
        <f>R49</f>
        <v>#DIV/0!</v>
      </c>
      <c r="D48" s="2615"/>
      <c r="E48" s="2616" t="e">
        <f>R48</f>
        <v>#DIV/0!</v>
      </c>
      <c r="F48" s="2616"/>
      <c r="G48" s="2614" t="e">
        <f>T48</f>
        <v>#DIV/0!</v>
      </c>
      <c r="H48" s="2615"/>
      <c r="I48" s="2616" t="e">
        <f>V48</f>
        <v>#DIV/0!</v>
      </c>
      <c r="J48" s="2615"/>
      <c r="K48" s="1188"/>
      <c r="L48" s="2170"/>
      <c r="M48" s="2171"/>
      <c r="N48" s="2163"/>
      <c r="O48" s="2171"/>
      <c r="P48" s="3437" t="str">
        <f>A48</f>
        <v>比较价值（元/平方米）</v>
      </c>
      <c r="Q48" s="3437"/>
      <c r="R48" s="3438" t="e">
        <f>IF(E1="售价",ROUND(PRODUCT(R47,AA7:AA46),0),ROUND(PRODUCT(R47,AA7:AA46),1))</f>
        <v>#DIV/0!</v>
      </c>
      <c r="S48" s="3438"/>
      <c r="T48" s="3438" t="e">
        <f>IF(E1="售价",ROUND(PRODUCT(T47,AB7:AB46),0),ROUND(PRODUCT(T47,AB7:AB46),1))</f>
        <v>#DIV/0!</v>
      </c>
      <c r="U48" s="3438"/>
      <c r="V48" s="3438" t="e">
        <f>IF(E1="售价",ROUND(PRODUCT(V47,AC7:AC46),0),ROUND(PRODUCT(V47,AC7:AC46),1))</f>
        <v>#DIV/0!</v>
      </c>
      <c r="W48" s="3438"/>
      <c r="X48" s="1158"/>
      <c r="Y48" s="1158"/>
      <c r="Z48" s="1158"/>
      <c r="AA48" s="1158"/>
      <c r="AB48" s="1158"/>
      <c r="AC48" s="1158"/>
    </row>
    <row r="49" spans="1:29" ht="15.75" thickBot="1">
      <c r="A49" s="62" t="s">
        <v>954</v>
      </c>
      <c r="B49" s="63"/>
      <c r="C49" s="2618" t="e">
        <f>R49</f>
        <v>#DIV/0!</v>
      </c>
      <c r="D49" s="2618"/>
      <c r="E49" s="2618"/>
      <c r="F49" s="2618"/>
      <c r="G49" s="2618"/>
      <c r="H49" s="2618"/>
      <c r="I49" s="2618"/>
      <c r="J49" s="2618"/>
      <c r="K49" s="1189"/>
      <c r="L49" s="2170"/>
      <c r="M49" s="2171"/>
      <c r="N49" s="2163"/>
      <c r="O49" s="2171"/>
      <c r="P49" s="3443" t="str">
        <f>A49</f>
        <v>估价对象XX用房的比较价值（楼面单价，元/平方米）</v>
      </c>
      <c r="Q49" s="3444"/>
      <c r="R49" s="3445" t="e">
        <f>IF(E1="售价",ROUND(AVERAGE(R48:V48),0),ROUND(AVERAGE(R48:V48),1))</f>
        <v>#DIV/0!</v>
      </c>
      <c r="S49" s="3445"/>
      <c r="T49" s="3445"/>
      <c r="U49" s="3445"/>
      <c r="V49" s="3445"/>
      <c r="W49" s="3445"/>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922</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923</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924</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4" t="s">
        <v>955</v>
      </c>
      <c r="B57" s="1158"/>
      <c r="C57" s="1165"/>
      <c r="D57" s="1165"/>
      <c r="E57" s="1165"/>
      <c r="F57" s="1166"/>
      <c r="G57" s="1166"/>
      <c r="H57" s="1165"/>
      <c r="I57" s="1165"/>
      <c r="J57" s="1165"/>
      <c r="K57" s="1167"/>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956</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8"/>
      <c r="B59" s="909"/>
      <c r="C59" s="841">
        <v>100</v>
      </c>
      <c r="D59" s="711"/>
      <c r="E59" s="711"/>
      <c r="F59" s="711"/>
      <c r="G59" s="711"/>
      <c r="H59" s="711"/>
      <c r="I59" s="711"/>
      <c r="J59" s="711"/>
      <c r="K59" s="711"/>
      <c r="L59" s="711"/>
      <c r="M59" s="712"/>
      <c r="N59" s="711"/>
      <c r="O59" s="712"/>
      <c r="P59" s="1171"/>
    </row>
    <row r="60" spans="1:29" s="11" customFormat="1" ht="15" thickBot="1">
      <c r="A60" s="910" t="s">
        <v>957</v>
      </c>
      <c r="B60" s="911"/>
      <c r="C60" s="716"/>
      <c r="D60" s="717"/>
      <c r="E60" s="717"/>
      <c r="F60" s="717"/>
      <c r="G60" s="717"/>
      <c r="H60" s="717"/>
      <c r="I60" s="717"/>
      <c r="J60" s="717"/>
      <c r="K60" s="717"/>
      <c r="L60" s="717"/>
      <c r="M60" s="718"/>
      <c r="N60" s="717"/>
      <c r="O60" s="718"/>
      <c r="P60" s="1171"/>
      <c r="Q60" s="68"/>
    </row>
    <row r="61" spans="1:29" s="11" customFormat="1">
      <c r="A61" s="912" t="s">
        <v>958</v>
      </c>
      <c r="B61" s="909"/>
      <c r="C61" s="913" t="s">
        <v>959</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960</v>
      </c>
      <c r="B63" s="183" t="s">
        <v>961</v>
      </c>
      <c r="C63" s="128">
        <f>C9</f>
        <v>0</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962</v>
      </c>
      <c r="C65" s="740" t="s">
        <v>925</v>
      </c>
      <c r="D65" s="740" t="s">
        <v>926</v>
      </c>
      <c r="E65" s="740" t="s">
        <v>927</v>
      </c>
      <c r="F65" s="740" t="s">
        <v>928</v>
      </c>
      <c r="G65" s="740" t="s">
        <v>929</v>
      </c>
      <c r="H65" s="740" t="s">
        <v>930</v>
      </c>
      <c r="I65" s="740" t="s">
        <v>931</v>
      </c>
      <c r="J65" s="740"/>
      <c r="K65" s="741"/>
      <c r="L65" s="742"/>
      <c r="M65" s="743"/>
      <c r="N65" s="1183"/>
      <c r="O65" s="1183"/>
      <c r="P65" s="1173"/>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4"/>
      <c r="O66" s="1184"/>
      <c r="P66" s="1173"/>
      <c r="Q66" s="68"/>
    </row>
    <row r="67" spans="1:17" ht="15" thickTop="1">
      <c r="A67" s="125"/>
      <c r="B67" s="919" t="s">
        <v>963</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4"/>
      <c r="O67" s="1184"/>
      <c r="P67" s="1173"/>
      <c r="Q67" s="68"/>
    </row>
    <row r="68" spans="1:17" ht="14.25">
      <c r="A68" s="125"/>
      <c r="B68" s="920"/>
      <c r="C68" s="750"/>
      <c r="D68" s="750"/>
      <c r="E68" s="750"/>
      <c r="F68" s="750"/>
      <c r="G68" s="750"/>
      <c r="H68" s="750"/>
      <c r="I68" s="750"/>
      <c r="J68" s="750"/>
      <c r="K68" s="751"/>
      <c r="L68" s="752"/>
      <c r="M68" s="753"/>
      <c r="N68" s="1183"/>
      <c r="O68" s="1183"/>
      <c r="P68" s="1173"/>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4"/>
      <c r="O69" s="1184"/>
      <c r="P69" s="1173"/>
      <c r="Q69" s="68"/>
    </row>
    <row r="70" spans="1:17" s="898" customFormat="1" ht="14.25" thickTop="1">
      <c r="A70" s="921"/>
      <c r="B70" s="917">
        <f>B12</f>
        <v>111</v>
      </c>
      <c r="C70" s="86"/>
      <c r="D70" s="86"/>
      <c r="E70" s="86"/>
      <c r="F70" s="86"/>
      <c r="G70" s="86"/>
      <c r="H70" s="922"/>
      <c r="I70" s="922"/>
      <c r="J70" s="922"/>
      <c r="K70" s="922"/>
      <c r="L70" s="923"/>
      <c r="M70" s="924"/>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4.25" thickTop="1">
      <c r="A72" s="921"/>
      <c r="B72" s="917">
        <f>B13</f>
        <v>111</v>
      </c>
      <c r="C72" s="86"/>
      <c r="D72" s="86"/>
      <c r="E72" s="86"/>
      <c r="F72" s="86"/>
      <c r="G72" s="86"/>
      <c r="H72" s="922"/>
      <c r="I72" s="922"/>
      <c r="J72" s="922"/>
      <c r="K72" s="922"/>
      <c r="L72" s="923"/>
      <c r="M72" s="924"/>
      <c r="N72" s="1185"/>
      <c r="O72" s="1185"/>
      <c r="P72" s="1175"/>
      <c r="Q72" s="928"/>
    </row>
    <row r="73" spans="1:17" s="898" customFormat="1" ht="15" thickBot="1">
      <c r="A73" s="921"/>
      <c r="B73" s="918"/>
      <c r="C73" s="762"/>
      <c r="D73" s="736"/>
      <c r="E73" s="736"/>
      <c r="F73" s="736"/>
      <c r="G73" s="762"/>
      <c r="H73" s="764"/>
      <c r="I73" s="764"/>
      <c r="J73" s="764"/>
      <c r="K73" s="764"/>
      <c r="L73" s="764"/>
      <c r="M73" s="765"/>
      <c r="N73" s="1185"/>
      <c r="O73" s="1185"/>
      <c r="P73" s="1174"/>
      <c r="Q73" s="926"/>
    </row>
    <row r="74" spans="1:17" s="898" customFormat="1" ht="14.25" thickTop="1">
      <c r="A74" s="921"/>
      <c r="B74" s="919">
        <f>B14</f>
        <v>111</v>
      </c>
      <c r="C74" s="86"/>
      <c r="D74" s="86"/>
      <c r="E74" s="86"/>
      <c r="F74" s="86"/>
      <c r="G74" s="87"/>
      <c r="H74" s="929"/>
      <c r="I74" s="929"/>
      <c r="J74" s="929"/>
      <c r="K74" s="929"/>
      <c r="L74" s="930"/>
      <c r="M74" s="931"/>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964</v>
      </c>
      <c r="B76" s="183" t="s">
        <v>965</v>
      </c>
      <c r="C76" s="775" t="s">
        <v>932</v>
      </c>
      <c r="D76" s="775" t="s">
        <v>933</v>
      </c>
      <c r="E76" s="775" t="s">
        <v>934</v>
      </c>
      <c r="F76" s="775" t="s">
        <v>935</v>
      </c>
      <c r="G76" s="775" t="s">
        <v>936</v>
      </c>
      <c r="H76" s="728"/>
      <c r="I76" s="728"/>
      <c r="J76" s="728"/>
      <c r="K76" s="776"/>
      <c r="L76" s="777"/>
      <c r="M76" s="778"/>
      <c r="N76" s="1183"/>
      <c r="O76" s="1183"/>
      <c r="P76" s="1177"/>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7" t="s">
        <v>971</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9" t="s">
        <v>2552</v>
      </c>
      <c r="C82" s="129" t="s">
        <v>2544</v>
      </c>
      <c r="D82" s="129" t="s">
        <v>2545</v>
      </c>
      <c r="E82" s="129" t="s">
        <v>2546</v>
      </c>
      <c r="F82" s="129" t="s">
        <v>2547</v>
      </c>
      <c r="G82" s="129" t="s">
        <v>2548</v>
      </c>
      <c r="H82" s="740"/>
      <c r="I82" s="740"/>
      <c r="J82" s="740"/>
      <c r="K82" s="740"/>
      <c r="L82" s="740"/>
      <c r="M82" s="2558"/>
      <c r="N82" s="1184"/>
      <c r="O82" s="1184"/>
      <c r="P82" s="1173"/>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7" t="s">
        <v>972</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5"/>
      <c r="B86" s="917" t="s">
        <v>973</v>
      </c>
      <c r="C86" s="86"/>
      <c r="D86" s="86"/>
      <c r="E86" s="86"/>
      <c r="F86" s="86"/>
      <c r="G86" s="86"/>
      <c r="H86" s="86"/>
      <c r="I86" s="86"/>
      <c r="J86" s="86"/>
      <c r="K86" s="86"/>
      <c r="L86" s="1178"/>
      <c r="M86" s="1179"/>
      <c r="N86" s="1182"/>
      <c r="O86" s="1182"/>
      <c r="P86" s="1173"/>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4"/>
      <c r="O87" s="1184"/>
      <c r="P87" s="1173"/>
      <c r="Q87" s="68"/>
    </row>
    <row r="88" spans="1:17" s="11" customFormat="1" ht="14.25" thickTop="1">
      <c r="A88" s="935"/>
      <c r="B88" s="917" t="str">
        <f>B26</f>
        <v>平面位置/可视性</v>
      </c>
      <c r="C88" s="86"/>
      <c r="D88" s="86"/>
      <c r="E88" s="86"/>
      <c r="F88" s="1180"/>
      <c r="G88" s="86"/>
      <c r="H88" s="86"/>
      <c r="I88" s="86"/>
      <c r="J88" s="86"/>
      <c r="K88" s="86"/>
      <c r="L88" s="86"/>
      <c r="M88" s="1179"/>
      <c r="N88" s="1182"/>
      <c r="O88" s="1182"/>
      <c r="P88" s="1173"/>
      <c r="Q88" s="68"/>
    </row>
    <row r="89" spans="1:17" s="11" customFormat="1" ht="15" thickBot="1">
      <c r="A89" s="935"/>
      <c r="B89" s="918"/>
      <c r="C89" s="762"/>
      <c r="D89" s="736"/>
      <c r="E89" s="736"/>
      <c r="F89" s="736"/>
      <c r="G89" s="736"/>
      <c r="H89" s="736"/>
      <c r="I89" s="736"/>
      <c r="J89" s="736"/>
      <c r="K89" s="736"/>
      <c r="L89" s="736"/>
      <c r="M89" s="736"/>
      <c r="N89" s="1184"/>
      <c r="O89" s="1184"/>
      <c r="P89" s="1173"/>
      <c r="Q89" s="68"/>
    </row>
    <row r="90" spans="1:17" s="898" customFormat="1" ht="14.25" thickTop="1">
      <c r="A90" s="921"/>
      <c r="B90" s="917" t="str">
        <f>B27</f>
        <v>人流量</v>
      </c>
      <c r="C90" s="86"/>
      <c r="D90" s="86"/>
      <c r="E90" s="86"/>
      <c r="F90" s="86"/>
      <c r="G90" s="86"/>
      <c r="H90" s="922"/>
      <c r="I90" s="922"/>
      <c r="J90" s="922"/>
      <c r="K90" s="922"/>
      <c r="L90" s="923"/>
      <c r="M90" s="924"/>
      <c r="N90" s="1185"/>
      <c r="O90" s="1185"/>
      <c r="P90" s="1174"/>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5"/>
      <c r="O91" s="1185"/>
      <c r="P91" s="1174"/>
      <c r="Q91" s="926"/>
    </row>
    <row r="92" spans="1:17" ht="14.25" thickTop="1">
      <c r="A92" s="125"/>
      <c r="B92" s="917" t="str">
        <f>B28</f>
        <v>楼层</v>
      </c>
      <c r="C92" s="86"/>
      <c r="D92" s="86"/>
      <c r="E92" s="86"/>
      <c r="F92" s="86"/>
      <c r="G92" s="86"/>
      <c r="H92" s="86"/>
      <c r="I92" s="86"/>
      <c r="J92" s="86"/>
      <c r="K92" s="86"/>
      <c r="L92" s="1178"/>
      <c r="M92" s="1179"/>
      <c r="N92" s="1183"/>
      <c r="O92" s="1183"/>
      <c r="P92" s="1173"/>
      <c r="Q92" s="68"/>
    </row>
    <row r="93" spans="1:17" ht="15" thickBot="1">
      <c r="A93" s="125"/>
      <c r="B93" s="918"/>
      <c r="C93" s="736"/>
      <c r="D93" s="736"/>
      <c r="E93" s="736"/>
      <c r="F93" s="736"/>
      <c r="G93" s="736"/>
      <c r="H93" s="736"/>
      <c r="I93" s="736"/>
      <c r="J93" s="736"/>
      <c r="K93" s="736"/>
      <c r="L93" s="736"/>
      <c r="M93" s="737"/>
      <c r="N93" s="1184"/>
      <c r="O93" s="1184"/>
      <c r="P93" s="1173"/>
      <c r="Q93" s="68"/>
    </row>
    <row r="94" spans="1:17" ht="14.25" thickTop="1">
      <c r="A94" s="125"/>
      <c r="B94" s="917">
        <f>B29</f>
        <v>111</v>
      </c>
      <c r="C94" s="86"/>
      <c r="D94" s="86"/>
      <c r="E94" s="86"/>
      <c r="F94" s="86"/>
      <c r="G94" s="78"/>
      <c r="H94" s="78"/>
      <c r="I94" s="78"/>
      <c r="J94" s="78"/>
      <c r="K94" s="79"/>
      <c r="L94" s="80"/>
      <c r="M94" s="81"/>
      <c r="N94" s="1183"/>
      <c r="O94" s="1183"/>
      <c r="P94" s="1173"/>
      <c r="Q94" s="68"/>
    </row>
    <row r="95" spans="1:17" ht="15" thickBot="1">
      <c r="A95" s="125"/>
      <c r="B95" s="918"/>
      <c r="C95" s="762"/>
      <c r="D95" s="736"/>
      <c r="E95" s="736"/>
      <c r="F95" s="736"/>
      <c r="G95" s="736"/>
      <c r="H95" s="736"/>
      <c r="I95" s="736"/>
      <c r="J95" s="736"/>
      <c r="K95" s="736"/>
      <c r="L95" s="736"/>
      <c r="M95" s="737"/>
      <c r="N95" s="1184"/>
      <c r="O95" s="1184"/>
      <c r="P95" s="1173"/>
      <c r="Q95" s="68"/>
    </row>
    <row r="96" spans="1:17" ht="14.25" thickTop="1">
      <c r="A96" s="125"/>
      <c r="B96" s="917">
        <f>B30</f>
        <v>111</v>
      </c>
      <c r="C96" s="86"/>
      <c r="D96" s="86"/>
      <c r="E96" s="86"/>
      <c r="F96" s="86"/>
      <c r="G96" s="78"/>
      <c r="H96" s="78"/>
      <c r="I96" s="78"/>
      <c r="J96" s="78"/>
      <c r="K96" s="79"/>
      <c r="L96" s="80"/>
      <c r="M96" s="81"/>
      <c r="N96" s="1183"/>
      <c r="O96" s="1183"/>
      <c r="P96" s="1173"/>
      <c r="Q96" s="68"/>
    </row>
    <row r="97" spans="1:17" ht="15" thickBot="1">
      <c r="A97" s="125"/>
      <c r="B97" s="918"/>
      <c r="C97" s="762"/>
      <c r="D97" s="736"/>
      <c r="E97" s="736"/>
      <c r="F97" s="736"/>
      <c r="G97" s="736"/>
      <c r="H97" s="736"/>
      <c r="I97" s="736"/>
      <c r="J97" s="736"/>
      <c r="K97" s="736"/>
      <c r="L97" s="736"/>
      <c r="M97" s="737"/>
      <c r="N97" s="1184"/>
      <c r="O97" s="1184"/>
      <c r="P97" s="1173"/>
      <c r="Q97" s="68"/>
    </row>
    <row r="98" spans="1:17" ht="14.25" thickTop="1">
      <c r="A98" s="125"/>
      <c r="B98" s="919">
        <f>B31</f>
        <v>111</v>
      </c>
      <c r="C98" s="86"/>
      <c r="D98" s="86"/>
      <c r="E98" s="86"/>
      <c r="F98" s="86"/>
      <c r="G98" s="82"/>
      <c r="H98" s="82"/>
      <c r="I98" s="82"/>
      <c r="J98" s="82"/>
      <c r="K98" s="83"/>
      <c r="L98" s="84"/>
      <c r="M98" s="85"/>
      <c r="N98" s="1183"/>
      <c r="O98" s="1183"/>
      <c r="P98" s="1173"/>
      <c r="Q98" s="68"/>
    </row>
    <row r="99" spans="1:17" ht="15" thickBot="1">
      <c r="A99" s="126"/>
      <c r="B99" s="934"/>
      <c r="C99" s="772"/>
      <c r="D99" s="772"/>
      <c r="E99" s="772"/>
      <c r="F99" s="772"/>
      <c r="G99" s="793"/>
      <c r="H99" s="793"/>
      <c r="I99" s="793"/>
      <c r="J99" s="793"/>
      <c r="K99" s="793"/>
      <c r="L99" s="793"/>
      <c r="M99" s="794"/>
      <c r="N99" s="1184"/>
      <c r="O99" s="1184"/>
      <c r="P99" s="1173"/>
      <c r="Q99" s="68"/>
    </row>
    <row r="100" spans="1:17">
      <c r="A100" s="124" t="s">
        <v>974</v>
      </c>
      <c r="B100" s="183" t="s">
        <v>975</v>
      </c>
      <c r="C100" s="69"/>
      <c r="D100" s="69"/>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4"/>
      <c r="O101" s="1184"/>
      <c r="P101" s="1173"/>
      <c r="Q101" s="68"/>
    </row>
    <row r="102" spans="1:17" ht="15" thickTop="1">
      <c r="A102" s="125"/>
      <c r="B102" s="917" t="s">
        <v>976</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2"/>
      <c r="O102" s="1182"/>
      <c r="P102" s="1173"/>
      <c r="Q102" s="68"/>
    </row>
    <row r="103" spans="1:17" s="898" customFormat="1" ht="14.25">
      <c r="A103" s="936"/>
      <c r="B103" s="937"/>
      <c r="C103" s="797"/>
      <c r="D103" s="797"/>
      <c r="E103" s="797"/>
      <c r="F103" s="797"/>
      <c r="G103" s="797"/>
      <c r="H103" s="797"/>
      <c r="I103" s="797"/>
      <c r="J103" s="798"/>
      <c r="K103" s="798"/>
      <c r="L103" s="799"/>
      <c r="M103" s="800"/>
      <c r="N103" s="1185"/>
      <c r="O103" s="1185"/>
      <c r="P103" s="1174"/>
      <c r="Q103" s="926"/>
    </row>
    <row r="104" spans="1:17" s="898" customFormat="1" ht="15" thickBot="1">
      <c r="A104" s="921"/>
      <c r="B104" s="918"/>
      <c r="C104" s="762"/>
      <c r="D104" s="736"/>
      <c r="E104" s="736"/>
      <c r="F104" s="736"/>
      <c r="G104" s="736"/>
      <c r="H104" s="736"/>
      <c r="I104" s="736"/>
      <c r="J104" s="736"/>
      <c r="K104" s="736"/>
      <c r="L104" s="736"/>
      <c r="M104" s="737"/>
      <c r="N104" s="1184"/>
      <c r="O104" s="1184"/>
      <c r="P104" s="1174"/>
      <c r="Q104" s="926"/>
    </row>
    <row r="105" spans="1:17" ht="14.25" thickTop="1">
      <c r="A105" s="127"/>
      <c r="B105" s="917" t="s">
        <v>977</v>
      </c>
      <c r="C105" s="86"/>
      <c r="D105" s="86"/>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4"/>
      <c r="O106" s="1184"/>
      <c r="P106" s="1173"/>
      <c r="Q106" s="68"/>
    </row>
    <row r="107" spans="1:17" ht="14.25" thickTop="1">
      <c r="A107" s="127"/>
      <c r="B107" s="917" t="s">
        <v>978</v>
      </c>
      <c r="C107" s="86"/>
      <c r="D107" s="86"/>
      <c r="E107" s="86"/>
      <c r="F107" s="78"/>
      <c r="G107" s="78"/>
      <c r="H107" s="78"/>
      <c r="I107" s="78"/>
      <c r="J107" s="78"/>
      <c r="K107" s="79"/>
      <c r="L107" s="80"/>
      <c r="M107" s="81"/>
      <c r="N107" s="1183"/>
      <c r="O107" s="1183"/>
      <c r="P107" s="1173"/>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4"/>
      <c r="O108" s="1184"/>
      <c r="P108" s="1173"/>
      <c r="Q108" s="68"/>
    </row>
    <row r="109" spans="1:17" ht="15" thickTop="1">
      <c r="A109" s="127"/>
      <c r="B109" s="917" t="s">
        <v>979</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3"/>
      <c r="O109" s="1183"/>
      <c r="P109" s="1173"/>
      <c r="Q109" s="68"/>
    </row>
    <row r="110" spans="1:17" ht="14.25">
      <c r="A110" s="127"/>
      <c r="B110" s="919"/>
      <c r="C110" s="805">
        <v>0.5</v>
      </c>
      <c r="D110" s="805">
        <v>0.6</v>
      </c>
      <c r="E110" s="805">
        <v>0.7</v>
      </c>
      <c r="F110" s="805">
        <v>0.8</v>
      </c>
      <c r="G110" s="805">
        <v>0.9</v>
      </c>
      <c r="H110" s="805">
        <v>1</v>
      </c>
      <c r="I110" s="135"/>
      <c r="J110" s="135"/>
      <c r="K110" s="136"/>
      <c r="L110" s="137"/>
      <c r="M110" s="138"/>
      <c r="N110" s="1183"/>
      <c r="O110" s="1183"/>
      <c r="P110" s="1173"/>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4"/>
      <c r="O111" s="1184"/>
      <c r="P111" s="1173"/>
      <c r="Q111" s="68"/>
    </row>
    <row r="112" spans="1:17" s="898" customFormat="1" ht="14.25" thickTop="1">
      <c r="A112" s="936"/>
      <c r="B112" s="917" t="s">
        <v>2543</v>
      </c>
      <c r="C112" s="86"/>
      <c r="D112" s="86"/>
      <c r="E112" s="86"/>
      <c r="F112" s="86"/>
      <c r="G112" s="86"/>
      <c r="H112" s="78"/>
      <c r="I112" s="78"/>
      <c r="J112" s="78"/>
      <c r="K112" s="79"/>
      <c r="L112" s="80"/>
      <c r="M112" s="81"/>
      <c r="N112" s="1185"/>
      <c r="O112" s="1185"/>
      <c r="P112" s="1174"/>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5"/>
      <c r="O113" s="1185"/>
      <c r="P113" s="1174"/>
      <c r="Q113" s="926"/>
    </row>
    <row r="114" spans="1:17" ht="14.25" thickTop="1">
      <c r="A114" s="127"/>
      <c r="B114" s="917" t="s">
        <v>980</v>
      </c>
      <c r="C114" s="86"/>
      <c r="D114" s="86"/>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4"/>
      <c r="O115" s="1184"/>
      <c r="P115" s="1173"/>
      <c r="Q115" s="68"/>
    </row>
    <row r="116" spans="1:17" ht="14.25" thickTop="1">
      <c r="A116" s="127"/>
      <c r="B116" s="917" t="s">
        <v>981</v>
      </c>
      <c r="C116" s="86"/>
      <c r="D116" s="86"/>
      <c r="E116" s="86"/>
      <c r="F116" s="86"/>
      <c r="G116" s="86"/>
      <c r="H116" s="78"/>
      <c r="I116" s="78"/>
      <c r="J116" s="78"/>
      <c r="K116" s="79"/>
      <c r="L116" s="80"/>
      <c r="M116" s="81"/>
      <c r="N116" s="1183"/>
      <c r="O116" s="1183"/>
      <c r="P116" s="1173"/>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5" thickTop="1">
      <c r="A118" s="127"/>
      <c r="B118" s="917" t="s">
        <v>982</v>
      </c>
      <c r="C118" s="829"/>
      <c r="D118" s="829"/>
      <c r="E118" s="829"/>
      <c r="F118" s="829"/>
      <c r="G118" s="829"/>
      <c r="H118" s="756"/>
      <c r="I118" s="756"/>
      <c r="J118" s="756"/>
      <c r="K118" s="756"/>
      <c r="L118" s="757"/>
      <c r="M118" s="758"/>
      <c r="N118" s="1183"/>
      <c r="O118" s="1183"/>
      <c r="P118" s="1173"/>
      <c r="Q118" s="68"/>
    </row>
    <row r="119" spans="1:17" ht="15" thickBot="1">
      <c r="A119" s="125"/>
      <c r="B119" s="918"/>
      <c r="C119" s="762"/>
      <c r="D119" s="736"/>
      <c r="E119" s="736"/>
      <c r="F119" s="736"/>
      <c r="G119" s="736"/>
      <c r="H119" s="736"/>
      <c r="I119" s="736"/>
      <c r="J119" s="736"/>
      <c r="K119" s="736"/>
      <c r="L119" s="736"/>
      <c r="M119" s="737"/>
      <c r="N119" s="1184"/>
      <c r="O119" s="1184"/>
      <c r="P119" s="1173"/>
      <c r="Q119" s="68"/>
    </row>
    <row r="120" spans="1:17" s="898" customFormat="1" ht="14.25" thickTop="1">
      <c r="A120" s="936"/>
      <c r="B120" s="917" t="s">
        <v>983</v>
      </c>
      <c r="C120" s="78"/>
      <c r="D120" s="78"/>
      <c r="E120" s="78"/>
      <c r="F120" s="78"/>
      <c r="G120" s="922"/>
      <c r="H120" s="922"/>
      <c r="I120" s="922"/>
      <c r="J120" s="922"/>
      <c r="K120" s="922"/>
      <c r="L120" s="923"/>
      <c r="M120" s="924"/>
      <c r="N120" s="1185"/>
      <c r="O120" s="1185"/>
      <c r="P120" s="1174"/>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5"/>
      <c r="O121" s="1185"/>
      <c r="P121" s="1174"/>
      <c r="Q121" s="926"/>
    </row>
    <row r="122" spans="1:17" ht="14.25" thickTop="1">
      <c r="A122" s="127"/>
      <c r="B122" s="917" t="s">
        <v>984</v>
      </c>
      <c r="C122" s="86"/>
      <c r="D122" s="86"/>
      <c r="E122" s="86"/>
      <c r="F122" s="78"/>
      <c r="G122" s="78"/>
      <c r="H122" s="78"/>
      <c r="I122" s="78"/>
      <c r="J122" s="78"/>
      <c r="K122" s="79"/>
      <c r="L122" s="80"/>
      <c r="M122" s="81"/>
      <c r="N122" s="1183"/>
      <c r="O122" s="1183"/>
      <c r="P122" s="1173"/>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4"/>
      <c r="O123" s="1184"/>
      <c r="P123" s="1173"/>
      <c r="Q123" s="68"/>
    </row>
    <row r="124" spans="1:17" ht="27.75" thickTop="1">
      <c r="A124" s="127"/>
      <c r="B124" s="917" t="s">
        <v>985</v>
      </c>
      <c r="C124" s="133" t="s">
        <v>966</v>
      </c>
      <c r="D124" s="133" t="s">
        <v>967</v>
      </c>
      <c r="E124" s="133" t="s">
        <v>968</v>
      </c>
      <c r="F124" s="133" t="s">
        <v>969</v>
      </c>
      <c r="G124" s="133" t="s">
        <v>970</v>
      </c>
      <c r="H124" s="129"/>
      <c r="I124" s="129"/>
      <c r="J124" s="129"/>
      <c r="K124" s="130"/>
      <c r="L124" s="131"/>
      <c r="M124" s="132"/>
      <c r="N124" s="1183"/>
      <c r="O124" s="1183"/>
      <c r="P124" s="1174"/>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6"/>
      <c r="B126" s="917">
        <f>B44</f>
        <v>111</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111</v>
      </c>
      <c r="C128" s="86"/>
      <c r="D128" s="86"/>
      <c r="E128" s="86"/>
      <c r="F128" s="86"/>
      <c r="G128" s="78"/>
      <c r="H128" s="78"/>
      <c r="I128" s="78"/>
      <c r="J128" s="78"/>
      <c r="K128" s="79"/>
      <c r="L128" s="80"/>
      <c r="M128" s="81"/>
      <c r="N128" s="1183"/>
      <c r="O128" s="1183"/>
      <c r="P128" s="1173"/>
      <c r="Q128" s="68"/>
    </row>
    <row r="129" spans="1:17" ht="15" thickBot="1">
      <c r="A129" s="125"/>
      <c r="B129" s="918"/>
      <c r="C129" s="762"/>
      <c r="D129" s="736"/>
      <c r="E129" s="736"/>
      <c r="F129" s="736"/>
      <c r="G129" s="736"/>
      <c r="H129" s="736"/>
      <c r="I129" s="736"/>
      <c r="J129" s="736"/>
      <c r="K129" s="736"/>
      <c r="L129" s="736"/>
      <c r="M129" s="737"/>
      <c r="N129" s="1184"/>
      <c r="O129" s="1184"/>
      <c r="P129" s="1173"/>
      <c r="Q129" s="68"/>
    </row>
    <row r="130" spans="1:17" ht="14.25" thickTop="1">
      <c r="A130" s="127"/>
      <c r="B130" s="919">
        <f>B46</f>
        <v>111</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986</v>
      </c>
      <c r="B1" s="2890" t="s">
        <v>987</v>
      </c>
      <c r="C1" s="2891"/>
      <c r="D1" s="2895"/>
      <c r="E1" s="2893"/>
      <c r="F1" s="2894" t="s">
        <v>988</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989</v>
      </c>
      <c r="B2" s="2885" t="e">
        <f ca="1">IF(D2="——",IF(C2="元",ROUND(C50*D3,0),ROUND(C50*D3/10000,0)),IF(C2="元",ROUND(C50*D3,0),ROUND(C50*D3/10000,0))-E2)</f>
        <v>#DIV/0!</v>
      </c>
      <c r="C2" s="32" t="str">
        <f>'数据-取费表'!B3</f>
        <v>万元</v>
      </c>
      <c r="D2" s="2886"/>
      <c r="E2" s="3032" t="e">
        <f ca="1">SUMIF(INDIRECT("'"&amp;G2&amp;"'"&amp;"!A:A"),"承租人权益价值",INDIRECT("'"&amp;G2&amp;"'"&amp;"!c:c"))</f>
        <v>#REF!</v>
      </c>
      <c r="F2" s="2887" t="str">
        <f>C2</f>
        <v>万元</v>
      </c>
      <c r="G2" s="2888"/>
      <c r="H2" s="2187"/>
      <c r="I2" s="2187"/>
      <c r="J2" s="2187"/>
      <c r="K2" s="2187"/>
      <c r="L2" s="2188"/>
      <c r="M2" s="2189"/>
      <c r="N2" s="2189"/>
      <c r="O2" s="2189"/>
      <c r="P2" s="1126"/>
      <c r="Q2" s="1126"/>
      <c r="R2" s="1126"/>
      <c r="S2" s="1126"/>
      <c r="T2" s="1126"/>
      <c r="U2" s="1126"/>
      <c r="V2" s="1126"/>
      <c r="W2" s="1126"/>
      <c r="X2" s="1126"/>
      <c r="Y2" s="1126"/>
      <c r="Z2" s="1126"/>
      <c r="AA2" s="1126"/>
      <c r="AB2" s="2903"/>
      <c r="AC2" s="1186"/>
    </row>
    <row r="3" spans="1:29" s="37" customFormat="1" ht="28.5" customHeight="1" thickBot="1">
      <c r="A3" s="34" t="s">
        <v>990</v>
      </c>
      <c r="B3" s="811" t="e">
        <f ca="1">ROUND(IF(D2="——",C50,IF(C2="万元",B2*10000/D3,B2/D3)),0)</f>
        <v>#DIV/0!</v>
      </c>
      <c r="C3" s="89" t="s">
        <v>991</v>
      </c>
      <c r="D3" s="596">
        <f>IF(C1="仅计算典型户型",'数据-取费表'!E5,'数据-取费表'!B5)</f>
        <v>255.46</v>
      </c>
      <c r="E3" s="1635"/>
      <c r="F3" s="2186"/>
      <c r="G3" s="2187"/>
      <c r="H3" s="2187"/>
      <c r="I3" s="2187"/>
      <c r="J3" s="2187"/>
      <c r="K3" s="2190"/>
      <c r="L3" s="2188"/>
      <c r="M3" s="2189"/>
      <c r="N3" s="2189"/>
      <c r="O3" s="2189"/>
      <c r="P3" s="1124"/>
      <c r="Q3" s="1124"/>
      <c r="R3" s="1124"/>
      <c r="S3" s="1124"/>
      <c r="T3" s="1124"/>
      <c r="U3" s="1124"/>
      <c r="V3" s="1124"/>
      <c r="W3" s="1124"/>
      <c r="X3" s="1126"/>
      <c r="Y3" s="1124"/>
      <c r="Z3" s="1124"/>
      <c r="AA3" s="1124"/>
      <c r="AB3" s="1194"/>
      <c r="AC3" s="1186"/>
    </row>
    <row r="4" spans="1:29">
      <c r="A4" s="90" t="s">
        <v>992</v>
      </c>
      <c r="B4" s="91"/>
      <c r="C4" s="3401" t="s">
        <v>993</v>
      </c>
      <c r="D4" s="3402"/>
      <c r="E4" s="3403" t="s">
        <v>994</v>
      </c>
      <c r="F4" s="3404"/>
      <c r="G4" s="3401" t="s">
        <v>995</v>
      </c>
      <c r="H4" s="3402"/>
      <c r="I4" s="3401" t="s">
        <v>996</v>
      </c>
      <c r="J4" s="3402"/>
      <c r="K4" s="139" t="s">
        <v>997</v>
      </c>
      <c r="L4" s="2162"/>
      <c r="M4" s="2163"/>
      <c r="N4" s="2163"/>
      <c r="O4" s="2163"/>
      <c r="P4" s="3446" t="s">
        <v>992</v>
      </c>
      <c r="Q4" s="3406"/>
      <c r="R4" s="3411" t="s">
        <v>994</v>
      </c>
      <c r="S4" s="3412"/>
      <c r="T4" s="3411" t="s">
        <v>995</v>
      </c>
      <c r="U4" s="3412"/>
      <c r="V4" s="3417" t="s">
        <v>996</v>
      </c>
      <c r="W4" s="3417"/>
      <c r="X4" s="1132"/>
      <c r="Y4" s="3411" t="s">
        <v>992</v>
      </c>
      <c r="Z4" s="3412"/>
      <c r="AA4" s="3398" t="s">
        <v>994</v>
      </c>
      <c r="AB4" s="3398" t="s">
        <v>995</v>
      </c>
      <c r="AC4" s="3398" t="s">
        <v>996</v>
      </c>
    </row>
    <row r="5" spans="1:29">
      <c r="A5" s="93"/>
      <c r="B5" s="94"/>
      <c r="C5" s="3420" t="s">
        <v>998</v>
      </c>
      <c r="D5" s="3421"/>
      <c r="E5" s="3418" t="s">
        <v>999</v>
      </c>
      <c r="F5" s="3419"/>
      <c r="G5" s="3420" t="s">
        <v>1000</v>
      </c>
      <c r="H5" s="3421"/>
      <c r="I5" s="3420" t="s">
        <v>1001</v>
      </c>
      <c r="J5" s="3421"/>
      <c r="K5" s="139"/>
      <c r="L5" s="2162"/>
      <c r="M5" s="2163"/>
      <c r="N5" s="2163"/>
      <c r="O5" s="2163"/>
      <c r="P5" s="3447"/>
      <c r="Q5" s="3408"/>
      <c r="R5" s="3413"/>
      <c r="S5" s="3414"/>
      <c r="T5" s="3413"/>
      <c r="U5" s="3414"/>
      <c r="V5" s="3417"/>
      <c r="W5" s="3417"/>
      <c r="X5" s="1132"/>
      <c r="Y5" s="3413"/>
      <c r="Z5" s="3414"/>
      <c r="AA5" s="3399"/>
      <c r="AB5" s="3399"/>
      <c r="AC5" s="3399"/>
    </row>
    <row r="6" spans="1:29" ht="14.25" thickBot="1">
      <c r="A6" s="95"/>
      <c r="B6" s="96"/>
      <c r="C6" s="3422" t="s">
        <v>1002</v>
      </c>
      <c r="D6" s="3423"/>
      <c r="E6" s="3424" t="s">
        <v>1002</v>
      </c>
      <c r="F6" s="3425"/>
      <c r="G6" s="3422" t="s">
        <v>1002</v>
      </c>
      <c r="H6" s="3423"/>
      <c r="I6" s="3422" t="s">
        <v>1002</v>
      </c>
      <c r="J6" s="3423"/>
      <c r="K6" s="139" t="s">
        <v>1003</v>
      </c>
      <c r="L6" s="2162"/>
      <c r="M6" s="2163"/>
      <c r="N6" s="2163"/>
      <c r="O6" s="2163"/>
      <c r="P6" s="3448"/>
      <c r="Q6" s="3410"/>
      <c r="R6" s="3413"/>
      <c r="S6" s="3414"/>
      <c r="T6" s="3415"/>
      <c r="U6" s="3416"/>
      <c r="V6" s="3417"/>
      <c r="W6" s="3417"/>
      <c r="X6" s="1132"/>
      <c r="Y6" s="3415"/>
      <c r="Z6" s="3416"/>
      <c r="AA6" s="3400"/>
      <c r="AB6" s="3400"/>
      <c r="AC6" s="3400"/>
    </row>
    <row r="7" spans="1:29" s="11" customFormat="1" ht="15" thickBot="1">
      <c r="A7" s="872" t="s">
        <v>1004</v>
      </c>
      <c r="B7" s="873"/>
      <c r="C7" s="607">
        <f>'数据-取费表'!B2</f>
        <v>42998</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35" t="s">
        <v>1004</v>
      </c>
      <c r="Q7" s="3435"/>
      <c r="R7" s="1134" t="s">
        <v>61</v>
      </c>
      <c r="S7" s="1135">
        <f t="shared" ref="S7:S15" si="0">F7</f>
        <v>0</v>
      </c>
      <c r="T7" s="1134" t="s">
        <v>61</v>
      </c>
      <c r="U7" s="1135">
        <f t="shared" ref="U7:U15" si="1">H7</f>
        <v>0</v>
      </c>
      <c r="V7" s="1134" t="s">
        <v>61</v>
      </c>
      <c r="W7" s="1135">
        <f t="shared" ref="W7:W15" si="2">J7</f>
        <v>0</v>
      </c>
      <c r="X7" s="184"/>
      <c r="Y7" s="3433" t="s">
        <v>1004</v>
      </c>
      <c r="Z7" s="3434"/>
      <c r="AA7" s="1136" t="e">
        <f>D7/F7</f>
        <v>#DIV/0!</v>
      </c>
      <c r="AB7" s="1136" t="e">
        <f>D7/H7</f>
        <v>#DIV/0!</v>
      </c>
      <c r="AC7" s="1136" t="e">
        <f>D7/J7</f>
        <v>#DIV/0!</v>
      </c>
    </row>
    <row r="8" spans="1:29" s="11" customFormat="1" ht="15" thickBot="1">
      <c r="A8" s="872" t="s">
        <v>1005</v>
      </c>
      <c r="B8" s="873"/>
      <c r="C8" s="878" t="s">
        <v>1006</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35" t="s">
        <v>937</v>
      </c>
      <c r="Q8" s="3434"/>
      <c r="R8" s="1134" t="s">
        <v>61</v>
      </c>
      <c r="S8" s="1135">
        <f t="shared" si="0"/>
        <v>0</v>
      </c>
      <c r="T8" s="1134" t="s">
        <v>61</v>
      </c>
      <c r="U8" s="1135">
        <f t="shared" si="1"/>
        <v>0</v>
      </c>
      <c r="V8" s="1134" t="s">
        <v>61</v>
      </c>
      <c r="W8" s="1135">
        <f t="shared" si="2"/>
        <v>0</v>
      </c>
      <c r="X8" s="184"/>
      <c r="Y8" s="3433" t="s">
        <v>937</v>
      </c>
      <c r="Z8" s="3434"/>
      <c r="AA8" s="1136" t="e">
        <f t="shared" ref="AA8:AA47" si="3">D8/F8</f>
        <v>#DIV/0!</v>
      </c>
      <c r="AB8" s="1136" t="e">
        <f t="shared" ref="AB8:AB47" si="4">D8/H8</f>
        <v>#DIV/0!</v>
      </c>
      <c r="AC8" s="1136" t="e">
        <f t="shared" ref="AC8:AC47" si="5">D8/J8</f>
        <v>#DIV/0!</v>
      </c>
    </row>
    <row r="9" spans="1:29" s="11" customFormat="1" ht="14.25">
      <c r="A9" s="879" t="s">
        <v>938</v>
      </c>
      <c r="B9" s="20" t="s">
        <v>939</v>
      </c>
      <c r="C9" s="1138"/>
      <c r="D9" s="234">
        <v>100</v>
      </c>
      <c r="E9" s="1140"/>
      <c r="F9" s="234">
        <f>SUMIF(64:64,E9,65:65)-SUMIF(64:64,C9,65:65)+100</f>
        <v>100</v>
      </c>
      <c r="G9" s="1139"/>
      <c r="H9" s="234">
        <f>SUMIF(64:64,G9,65:65)-SUMIF(64:64,C9,65:65)+100</f>
        <v>100</v>
      </c>
      <c r="I9" s="1139"/>
      <c r="J9" s="234">
        <f>SUMIF(64:64,I9,65:65)-SUMIF(64:64,C9,65:65)+100</f>
        <v>100</v>
      </c>
      <c r="K9" s="877"/>
      <c r="L9" s="2164"/>
      <c r="M9" s="2106"/>
      <c r="N9" s="2106"/>
      <c r="O9" s="2106"/>
      <c r="P9" s="3444"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SUMIF(66:66,E10,67:67)-SUMIF(66:66,C10,67:67)+100</f>
        <v>100</v>
      </c>
      <c r="G10" s="1142"/>
      <c r="H10" s="235">
        <f>SUMIF(66:66,G10,67:67)-SUMIF(66:66,C10,67:67)+100</f>
        <v>100</v>
      </c>
      <c r="I10" s="1141"/>
      <c r="J10" s="235">
        <f>SUMIF(66:66,I10,67:67)-SUMIF(66:66,C10,67:67)+100</f>
        <v>100</v>
      </c>
      <c r="K10" s="814"/>
      <c r="L10" s="2165"/>
      <c r="M10" s="2166"/>
      <c r="N10" s="2166"/>
      <c r="O10" s="2166"/>
      <c r="P10" s="3444"/>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44"/>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882"/>
      <c r="F12" s="235">
        <f>SUMIF(71:71,E12,72:72)-SUMIF(71:71,C12,72:72)+100</f>
        <v>100</v>
      </c>
      <c r="G12" s="1195"/>
      <c r="H12" s="235">
        <f>SUMIF(71:71,G12,72:72)-SUMIF(71:71,C12,72:72)+100</f>
        <v>100</v>
      </c>
      <c r="I12" s="882"/>
      <c r="J12" s="235">
        <f>SUMIF(71:71,I12,72:72)-SUMIF(71:71,C12,72:72)+100</f>
        <v>100</v>
      </c>
      <c r="K12" s="140"/>
      <c r="L12" s="2164"/>
      <c r="M12" s="2106"/>
      <c r="N12" s="2106"/>
      <c r="O12" s="2106"/>
      <c r="P12" s="3444"/>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882"/>
      <c r="F13" s="235">
        <f>SUMIF(73:73,E13,74:74)-SUMIF(73:73,C13,74:74)+100</f>
        <v>100</v>
      </c>
      <c r="G13" s="1195"/>
      <c r="H13" s="633">
        <f>SUMIF(73:73,G13,74:74)-SUMIF(73:73,C13,74:74)+100</f>
        <v>100</v>
      </c>
      <c r="I13" s="882"/>
      <c r="J13" s="633">
        <f>SUMIF(73:73,I13,74:74)-SUMIF(73:73,C13,74:74)+100</f>
        <v>100</v>
      </c>
      <c r="K13" s="140"/>
      <c r="L13" s="2168"/>
      <c r="M13" s="2163"/>
      <c r="N13" s="2163"/>
      <c r="O13" s="2163"/>
      <c r="P13" s="3444"/>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1196"/>
      <c r="F14" s="635">
        <f>SUMIF(75:75,E14,76:76)-SUMIF(75:75,C14,76:76)+100</f>
        <v>100</v>
      </c>
      <c r="G14" s="1195"/>
      <c r="H14" s="635">
        <f>SUMIF(75:75,G14,76:76)-SUMIF(75:75,C14,76:76)+100</f>
        <v>100</v>
      </c>
      <c r="I14" s="882"/>
      <c r="J14" s="635">
        <f>SUMIF(75:75,I14,76:76)-SUMIF(75:75,C14,76:76)+100</f>
        <v>100</v>
      </c>
      <c r="K14" s="140"/>
      <c r="L14" s="2168"/>
      <c r="M14" s="2163"/>
      <c r="N14" s="2163"/>
      <c r="O14" s="2163"/>
      <c r="P14" s="3444"/>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06" t="s">
        <v>65</v>
      </c>
      <c r="Q15" s="1144" t="str">
        <f t="shared" si="6"/>
        <v>办公集聚程度</v>
      </c>
      <c r="R15" s="1145" t="s">
        <v>61</v>
      </c>
      <c r="S15" s="1146">
        <f t="shared" si="0"/>
        <v>100</v>
      </c>
      <c r="T15" s="1145" t="s">
        <v>61</v>
      </c>
      <c r="U15" s="1146">
        <f t="shared" si="1"/>
        <v>100</v>
      </c>
      <c r="V15" s="1145" t="s">
        <v>61</v>
      </c>
      <c r="W15" s="1146">
        <f t="shared" si="2"/>
        <v>100</v>
      </c>
      <c r="X15" s="1132"/>
      <c r="Y15" s="3426" t="s">
        <v>65</v>
      </c>
      <c r="Z15" s="1147" t="str">
        <f t="shared" si="7"/>
        <v>办公集聚程度</v>
      </c>
      <c r="AA15" s="1148">
        <f t="shared" si="3"/>
        <v>1</v>
      </c>
      <c r="AB15" s="1148">
        <f t="shared" si="4"/>
        <v>1</v>
      </c>
      <c r="AC15" s="1148">
        <f t="shared" si="5"/>
        <v>1</v>
      </c>
    </row>
    <row r="16" spans="1:29" ht="14.25">
      <c r="A16" s="98"/>
      <c r="B16" s="161"/>
      <c r="C16" s="144"/>
      <c r="D16" s="645"/>
      <c r="E16" s="44"/>
      <c r="F16" s="645"/>
      <c r="G16" s="144"/>
      <c r="H16" s="648"/>
      <c r="I16" s="44"/>
      <c r="J16" s="645"/>
      <c r="K16" s="141"/>
      <c r="L16" s="2168"/>
      <c r="M16" s="2163"/>
      <c r="N16" s="2163"/>
      <c r="O16" s="2163"/>
      <c r="P16" s="3408"/>
      <c r="Q16" s="1144"/>
      <c r="R16" s="1145"/>
      <c r="S16" s="1146"/>
      <c r="T16" s="1145"/>
      <c r="U16" s="1146"/>
      <c r="V16" s="1145"/>
      <c r="W16" s="1146"/>
      <c r="X16" s="1132"/>
      <c r="Y16" s="3427"/>
      <c r="Z16" s="1147"/>
      <c r="AA16" s="1148">
        <v>1</v>
      </c>
      <c r="AB16" s="1148">
        <v>1</v>
      </c>
      <c r="AC16" s="1148">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08"/>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3"/>
      <c r="C18" s="145"/>
      <c r="D18" s="648"/>
      <c r="E18" s="51"/>
      <c r="F18" s="648"/>
      <c r="G18" s="50"/>
      <c r="H18" s="645"/>
      <c r="I18" s="50"/>
      <c r="J18" s="645"/>
      <c r="K18" s="141"/>
      <c r="L18" s="2168"/>
      <c r="M18" s="2163"/>
      <c r="N18" s="2163"/>
      <c r="O18" s="2163"/>
      <c r="P18" s="3408"/>
      <c r="Q18" s="1144"/>
      <c r="R18" s="1145"/>
      <c r="S18" s="1146"/>
      <c r="T18" s="1145"/>
      <c r="U18" s="1146"/>
      <c r="V18" s="1145"/>
      <c r="W18" s="1146"/>
      <c r="X18" s="1132"/>
      <c r="Y18" s="3427"/>
      <c r="Z18" s="1147"/>
      <c r="AA18" s="1148">
        <v>1</v>
      </c>
      <c r="AB18" s="1148">
        <v>1</v>
      </c>
      <c r="AC18" s="1148">
        <v>1</v>
      </c>
    </row>
    <row r="19" spans="1:29" ht="40.5">
      <c r="A19" s="98"/>
      <c r="B19" s="892" t="s">
        <v>2553</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08"/>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3"/>
      <c r="C20" s="144"/>
      <c r="D20" s="645"/>
      <c r="E20" s="46"/>
      <c r="F20" s="645"/>
      <c r="G20" s="45"/>
      <c r="H20" s="645"/>
      <c r="I20" s="45"/>
      <c r="J20" s="645"/>
      <c r="K20" s="141"/>
      <c r="L20" s="2168"/>
      <c r="M20" s="2163"/>
      <c r="N20" s="2163"/>
      <c r="O20" s="2163"/>
      <c r="P20" s="3408"/>
      <c r="Q20" s="1144"/>
      <c r="R20" s="1145"/>
      <c r="S20" s="1146"/>
      <c r="T20" s="1145"/>
      <c r="U20" s="1146"/>
      <c r="V20" s="1145"/>
      <c r="W20" s="1146"/>
      <c r="X20" s="1132"/>
      <c r="Y20" s="3427"/>
      <c r="Z20" s="1147"/>
      <c r="AA20" s="1148">
        <v>1</v>
      </c>
      <c r="AB20" s="1148">
        <v>1</v>
      </c>
      <c r="AC20" s="1148">
        <v>1</v>
      </c>
    </row>
    <row r="21" spans="1:29" ht="40.5">
      <c r="A21" s="98"/>
      <c r="B21" s="894" t="s">
        <v>2554</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08"/>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894"/>
      <c r="C22" s="145"/>
      <c r="D22" s="645"/>
      <c r="E22" s="44"/>
      <c r="F22" s="645"/>
      <c r="G22" s="144"/>
      <c r="H22" s="645"/>
      <c r="I22" s="144"/>
      <c r="J22" s="645"/>
      <c r="K22" s="2559"/>
      <c r="L22" s="2168"/>
      <c r="M22" s="2163"/>
      <c r="N22" s="2163"/>
      <c r="O22" s="2163"/>
      <c r="P22" s="3408"/>
      <c r="Q22" s="2548"/>
      <c r="R22" s="1145"/>
      <c r="S22" s="1146"/>
      <c r="T22" s="1145"/>
      <c r="U22" s="1146"/>
      <c r="V22" s="1145"/>
      <c r="W22" s="1146"/>
      <c r="X22" s="2546"/>
      <c r="Y22" s="3427"/>
      <c r="Z22" s="2547"/>
      <c r="AA22" s="1148">
        <v>1</v>
      </c>
      <c r="AB22" s="1148">
        <v>1</v>
      </c>
      <c r="AC22" s="1148">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08"/>
      <c r="Q23" s="1144" t="str">
        <f>B23</f>
        <v>环境质量</v>
      </c>
      <c r="R23" s="1145" t="s">
        <v>61</v>
      </c>
      <c r="S23" s="1146">
        <f>F23</f>
        <v>100</v>
      </c>
      <c r="T23" s="1145" t="s">
        <v>61</v>
      </c>
      <c r="U23" s="1146">
        <f>H23</f>
        <v>100</v>
      </c>
      <c r="V23" s="1145" t="s">
        <v>61</v>
      </c>
      <c r="W23" s="1146">
        <f>J23</f>
        <v>100</v>
      </c>
      <c r="X23" s="1132"/>
      <c r="Y23" s="3427"/>
      <c r="Z23" s="1147" t="str">
        <f>Q23</f>
        <v>环境质量</v>
      </c>
      <c r="AA23" s="1148">
        <f t="shared" si="3"/>
        <v>1</v>
      </c>
      <c r="AB23" s="1148">
        <f t="shared" si="4"/>
        <v>1</v>
      </c>
      <c r="AC23" s="1148">
        <f t="shared" si="5"/>
        <v>1</v>
      </c>
    </row>
    <row r="24" spans="1:29" ht="14.25">
      <c r="A24" s="98"/>
      <c r="B24" s="894"/>
      <c r="C24" s="144"/>
      <c r="D24" s="645"/>
      <c r="E24" s="46"/>
      <c r="F24" s="645"/>
      <c r="G24" s="45"/>
      <c r="H24" s="645"/>
      <c r="I24" s="45"/>
      <c r="J24" s="645"/>
      <c r="K24" s="141"/>
      <c r="L24" s="2168"/>
      <c r="M24" s="2163"/>
      <c r="N24" s="2163"/>
      <c r="O24" s="2163"/>
      <c r="P24" s="3408"/>
      <c r="Q24" s="1144"/>
      <c r="R24" s="1145"/>
      <c r="S24" s="1146"/>
      <c r="T24" s="1145"/>
      <c r="U24" s="1146"/>
      <c r="V24" s="1145"/>
      <c r="W24" s="1146"/>
      <c r="X24" s="1132"/>
      <c r="Y24" s="3427"/>
      <c r="Z24" s="1147"/>
      <c r="AA24" s="1148">
        <v>1</v>
      </c>
      <c r="AB24" s="1148">
        <v>1</v>
      </c>
      <c r="AC24" s="1148">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08"/>
      <c r="Q25" s="1144" t="str">
        <f>B25</f>
        <v>毗邻道路的类型与等级</v>
      </c>
      <c r="R25" s="1145" t="s">
        <v>61</v>
      </c>
      <c r="S25" s="1146">
        <f>F25</f>
        <v>100</v>
      </c>
      <c r="T25" s="1145" t="s">
        <v>61</v>
      </c>
      <c r="U25" s="1146">
        <f>H25</f>
        <v>100</v>
      </c>
      <c r="V25" s="1145" t="s">
        <v>61</v>
      </c>
      <c r="W25" s="1146">
        <f>J25</f>
        <v>100</v>
      </c>
      <c r="X25" s="1132"/>
      <c r="Y25" s="3427"/>
      <c r="Z25" s="1147" t="str">
        <f>Q25</f>
        <v>毗邻道路的类型与等级</v>
      </c>
      <c r="AA25" s="1148">
        <f t="shared" si="3"/>
        <v>1</v>
      </c>
      <c r="AB25" s="1148">
        <f t="shared" si="4"/>
        <v>1</v>
      </c>
      <c r="AC25" s="1148">
        <f t="shared" si="5"/>
        <v>1</v>
      </c>
    </row>
    <row r="26" spans="1:29" ht="14.25">
      <c r="A26" s="93"/>
      <c r="B26" s="893"/>
      <c r="C26" s="147"/>
      <c r="D26" s="633"/>
      <c r="E26" s="134"/>
      <c r="F26" s="633"/>
      <c r="G26" s="147"/>
      <c r="H26" s="633"/>
      <c r="I26" s="134"/>
      <c r="J26" s="633"/>
      <c r="K26" s="141"/>
      <c r="L26" s="2168"/>
      <c r="M26" s="2163"/>
      <c r="N26" s="2163"/>
      <c r="O26" s="2163"/>
      <c r="P26" s="3408"/>
      <c r="Q26" s="1144"/>
      <c r="R26" s="1145"/>
      <c r="S26" s="1146"/>
      <c r="T26" s="1145"/>
      <c r="U26" s="1146"/>
      <c r="V26" s="1145"/>
      <c r="W26" s="1146"/>
      <c r="X26" s="1132"/>
      <c r="Y26" s="3427"/>
      <c r="Z26" s="1147"/>
      <c r="AA26" s="1148">
        <v>1</v>
      </c>
      <c r="AB26" s="1148">
        <v>1</v>
      </c>
      <c r="AC26" s="1148">
        <v>1</v>
      </c>
    </row>
    <row r="27" spans="1:29" ht="15">
      <c r="A27" s="98"/>
      <c r="B27" s="893" t="s">
        <v>1007</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08"/>
      <c r="Q27" s="1144" t="str">
        <f t="shared" ref="Q27:Q47" si="11">B27</f>
        <v>楼层</v>
      </c>
      <c r="R27" s="1145" t="s">
        <v>61</v>
      </c>
      <c r="S27" s="1146">
        <f>F27</f>
        <v>100</v>
      </c>
      <c r="T27" s="1145" t="s">
        <v>61</v>
      </c>
      <c r="U27" s="1146">
        <f>H27</f>
        <v>100</v>
      </c>
      <c r="V27" s="1145" t="s">
        <v>61</v>
      </c>
      <c r="W27" s="1146">
        <f>J27</f>
        <v>100</v>
      </c>
      <c r="X27" s="1132"/>
      <c r="Y27" s="3427"/>
      <c r="Z27" s="1147" t="str">
        <f>Q27</f>
        <v>楼层</v>
      </c>
      <c r="AA27" s="1148">
        <f t="shared" si="3"/>
        <v>1</v>
      </c>
      <c r="AB27" s="1148">
        <f t="shared" si="4"/>
        <v>1</v>
      </c>
      <c r="AC27" s="1148">
        <f t="shared" si="5"/>
        <v>1</v>
      </c>
    </row>
    <row r="28" spans="1:29" s="11" customFormat="1" ht="15">
      <c r="A28" s="888"/>
      <c r="B28" s="892" t="s">
        <v>145</v>
      </c>
      <c r="C28" s="1197"/>
      <c r="D28" s="661">
        <v>100</v>
      </c>
      <c r="E28" s="1181"/>
      <c r="F28" s="661">
        <f>SUMIF(91:91,E28,92:92)-SUMIF(91:91,C28,92:92)+100</f>
        <v>100</v>
      </c>
      <c r="G28" s="1197"/>
      <c r="H28" s="661">
        <f>SUMIF(91:91,G28,92:92)-SUMIF(91:91,C28,92:92)+100</f>
        <v>100</v>
      </c>
      <c r="I28" s="1181"/>
      <c r="J28" s="661">
        <f>SUMIF(91:91,I28,92:92)-SUMIF(91:91,C28,92:92)+100</f>
        <v>100</v>
      </c>
      <c r="K28" s="814"/>
      <c r="L28" s="2164"/>
      <c r="M28" s="2106"/>
      <c r="N28" s="2106"/>
      <c r="O28" s="2106"/>
      <c r="P28" s="3408"/>
      <c r="Q28" s="2" t="str">
        <f t="shared" si="11"/>
        <v>朝向</v>
      </c>
      <c r="R28" s="1134" t="s">
        <v>61</v>
      </c>
      <c r="S28" s="1135">
        <f>F28</f>
        <v>100</v>
      </c>
      <c r="T28" s="1134" t="s">
        <v>61</v>
      </c>
      <c r="U28" s="1135">
        <f>H28</f>
        <v>100</v>
      </c>
      <c r="V28" s="1134" t="s">
        <v>61</v>
      </c>
      <c r="W28" s="1135">
        <f>J28</f>
        <v>100</v>
      </c>
      <c r="X28" s="184"/>
      <c r="Y28" s="3427"/>
      <c r="Z28" s="185" t="str">
        <f>Q28</f>
        <v>朝向</v>
      </c>
      <c r="AA28" s="1148">
        <f>D28/F28</f>
        <v>1</v>
      </c>
      <c r="AB28" s="1148">
        <f>D28/H28</f>
        <v>1</v>
      </c>
      <c r="AC28" s="1148">
        <f>D28/J28</f>
        <v>1</v>
      </c>
    </row>
    <row r="29" spans="1:29" ht="14.25">
      <c r="A29" s="98"/>
      <c r="B29" s="896">
        <v>111</v>
      </c>
      <c r="C29" s="146"/>
      <c r="D29" s="633">
        <v>100</v>
      </c>
      <c r="E29" s="882"/>
      <c r="F29" s="633">
        <f>SUMIF(93:93,E29,94:94)-SUMIF(93:93,C29,94:94)+100</f>
        <v>100</v>
      </c>
      <c r="G29" s="1195"/>
      <c r="H29" s="633">
        <f>SUMIF(93:93,G29,94:94)-SUMIF(93:93,C29,94:94)+100</f>
        <v>100</v>
      </c>
      <c r="I29" s="882"/>
      <c r="J29" s="633">
        <f>SUMIF(93:93,I29,94:94)-SUMIF(93:93,C29,94:94)+100</f>
        <v>100</v>
      </c>
      <c r="K29" s="140"/>
      <c r="L29" s="2168"/>
      <c r="M29" s="2163"/>
      <c r="N29" s="2163"/>
      <c r="O29" s="2163"/>
      <c r="P29" s="3408"/>
      <c r="Q29" s="1144">
        <f t="shared" si="11"/>
        <v>111</v>
      </c>
      <c r="R29" s="1145" t="s">
        <v>61</v>
      </c>
      <c r="S29" s="1146">
        <f t="shared" ref="S29:S47" si="12">F29</f>
        <v>100</v>
      </c>
      <c r="T29" s="1145" t="s">
        <v>61</v>
      </c>
      <c r="U29" s="1146">
        <f t="shared" ref="U29:U47" si="13">H29</f>
        <v>100</v>
      </c>
      <c r="V29" s="1145" t="s">
        <v>61</v>
      </c>
      <c r="W29" s="1146">
        <f t="shared" ref="W29:W47" si="14">J29</f>
        <v>100</v>
      </c>
      <c r="X29" s="1132"/>
      <c r="Y29" s="3427"/>
      <c r="Z29" s="1147">
        <f t="shared" ref="Z29:Z47" si="15">Q29</f>
        <v>111</v>
      </c>
      <c r="AA29" s="1148">
        <f t="shared" si="3"/>
        <v>1</v>
      </c>
      <c r="AB29" s="1148">
        <f t="shared" si="4"/>
        <v>1</v>
      </c>
      <c r="AC29" s="1148">
        <f t="shared" si="5"/>
        <v>1</v>
      </c>
    </row>
    <row r="30" spans="1:29" ht="14.25">
      <c r="A30" s="98"/>
      <c r="B30" s="896">
        <v>111</v>
      </c>
      <c r="C30" s="146"/>
      <c r="D30" s="633">
        <v>100</v>
      </c>
      <c r="E30" s="882"/>
      <c r="F30" s="633">
        <f>SUMIF(95:95,E30,96:96)-SUMIF(95:95,C30,96:96)+100</f>
        <v>100</v>
      </c>
      <c r="G30" s="1195"/>
      <c r="H30" s="633">
        <f>SUMIF(95:95,G30,96:96)-SUMIF(95:95,C30,96:96)+100</f>
        <v>100</v>
      </c>
      <c r="I30" s="882"/>
      <c r="J30" s="633">
        <f>SUMIF(95:95,I30,96:96)-SUMIF(95:95,C30,96:96)+100</f>
        <v>100</v>
      </c>
      <c r="K30" s="140"/>
      <c r="L30" s="2168"/>
      <c r="M30" s="2163"/>
      <c r="N30" s="2163"/>
      <c r="O30" s="2163"/>
      <c r="P30" s="3408"/>
      <c r="Q30" s="1144">
        <f t="shared" si="11"/>
        <v>111</v>
      </c>
      <c r="R30" s="1145" t="s">
        <v>61</v>
      </c>
      <c r="S30" s="1146">
        <f t="shared" si="12"/>
        <v>100</v>
      </c>
      <c r="T30" s="1145" t="s">
        <v>61</v>
      </c>
      <c r="U30" s="1146">
        <f t="shared" si="13"/>
        <v>100</v>
      </c>
      <c r="V30" s="1145" t="s">
        <v>61</v>
      </c>
      <c r="W30" s="1146">
        <f t="shared" si="14"/>
        <v>100</v>
      </c>
      <c r="X30" s="1132"/>
      <c r="Y30" s="3427"/>
      <c r="Z30" s="1147">
        <f t="shared" si="15"/>
        <v>111</v>
      </c>
      <c r="AA30" s="1148">
        <f t="shared" si="3"/>
        <v>1</v>
      </c>
      <c r="AB30" s="1148">
        <f t="shared" si="4"/>
        <v>1</v>
      </c>
      <c r="AC30" s="1148">
        <f t="shared" si="5"/>
        <v>1</v>
      </c>
    </row>
    <row r="31" spans="1:29" ht="14.25">
      <c r="A31" s="98"/>
      <c r="B31" s="896">
        <v>111</v>
      </c>
      <c r="C31" s="146"/>
      <c r="D31" s="633">
        <v>100</v>
      </c>
      <c r="E31" s="882"/>
      <c r="F31" s="633">
        <f>SUMIF(97:97,E31,98:98)-SUMIF(97:97,C31,98:98)+100</f>
        <v>100</v>
      </c>
      <c r="G31" s="1195"/>
      <c r="H31" s="633">
        <f>SUMIF(97:97,G31,98:98)-SUMIF(97:97,C31,98:98)+100</f>
        <v>100</v>
      </c>
      <c r="I31" s="882"/>
      <c r="J31" s="633">
        <f>SUMIF(97:97,I31,98:98)-SUMIF(97:97,C31,98:98)+100</f>
        <v>100</v>
      </c>
      <c r="K31" s="140"/>
      <c r="L31" s="2168"/>
      <c r="M31" s="2163"/>
      <c r="N31" s="2163"/>
      <c r="O31" s="2163"/>
      <c r="P31" s="3408"/>
      <c r="Q31" s="1144">
        <f t="shared" si="11"/>
        <v>111</v>
      </c>
      <c r="R31" s="1145" t="s">
        <v>61</v>
      </c>
      <c r="S31" s="1146">
        <f t="shared" si="12"/>
        <v>100</v>
      </c>
      <c r="T31" s="1145" t="s">
        <v>61</v>
      </c>
      <c r="U31" s="1146">
        <f t="shared" si="13"/>
        <v>100</v>
      </c>
      <c r="V31" s="1145" t="s">
        <v>61</v>
      </c>
      <c r="W31" s="1146">
        <f t="shared" si="14"/>
        <v>100</v>
      </c>
      <c r="X31" s="1132"/>
      <c r="Y31" s="3427"/>
      <c r="Z31" s="1147">
        <f t="shared" si="15"/>
        <v>111</v>
      </c>
      <c r="AA31" s="1148">
        <f t="shared" si="3"/>
        <v>1</v>
      </c>
      <c r="AB31" s="1148">
        <f t="shared" si="4"/>
        <v>1</v>
      </c>
      <c r="AC31" s="1148">
        <f t="shared" si="5"/>
        <v>1</v>
      </c>
    </row>
    <row r="32" spans="1:29" ht="15" thickBot="1">
      <c r="A32" s="101"/>
      <c r="B32" s="1198">
        <v>111</v>
      </c>
      <c r="C32" s="148"/>
      <c r="D32" s="635">
        <v>100</v>
      </c>
      <c r="E32" s="1196"/>
      <c r="F32" s="635">
        <f>SUMIF(99:99,E32,100:100)-SUMIF(99:99,C32,100:100)+100</f>
        <v>100</v>
      </c>
      <c r="G32" s="1195"/>
      <c r="H32" s="635">
        <f>SUMIF(99:99,G32,100:100)-SUMIF(99:99,C32,100:100)+100</f>
        <v>100</v>
      </c>
      <c r="I32" s="882"/>
      <c r="J32" s="635">
        <f>SUMIF(99:99,I32,100:100)-SUMIF(99:99,C32,100:100)+100</f>
        <v>100</v>
      </c>
      <c r="K32" s="140"/>
      <c r="L32" s="2168"/>
      <c r="M32" s="2163"/>
      <c r="N32" s="2163"/>
      <c r="O32" s="2163"/>
      <c r="P32" s="3408"/>
      <c r="Q32" s="1144">
        <f t="shared" si="11"/>
        <v>111</v>
      </c>
      <c r="R32" s="1145" t="s">
        <v>61</v>
      </c>
      <c r="S32" s="1146">
        <f t="shared" si="12"/>
        <v>100</v>
      </c>
      <c r="T32" s="1145" t="s">
        <v>61</v>
      </c>
      <c r="U32" s="1146">
        <f t="shared" si="13"/>
        <v>100</v>
      </c>
      <c r="V32" s="1145" t="s">
        <v>61</v>
      </c>
      <c r="W32" s="1146">
        <f t="shared" si="14"/>
        <v>100</v>
      </c>
      <c r="X32" s="1132"/>
      <c r="Y32" s="3427"/>
      <c r="Z32" s="1147">
        <f t="shared" si="15"/>
        <v>111</v>
      </c>
      <c r="AA32" s="1148">
        <f t="shared" si="3"/>
        <v>1</v>
      </c>
      <c r="AB32" s="1148">
        <f t="shared" si="4"/>
        <v>1</v>
      </c>
      <c r="AC32" s="1148">
        <f t="shared" si="5"/>
        <v>1</v>
      </c>
    </row>
    <row r="33" spans="1:29" ht="15">
      <c r="A33" s="105" t="s">
        <v>1008</v>
      </c>
      <c r="B33" s="20" t="s">
        <v>1009</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49" t="s">
        <v>1010</v>
      </c>
      <c r="Q33" s="1144" t="str">
        <f t="shared" si="11"/>
        <v>建筑类型</v>
      </c>
      <c r="R33" s="1145" t="s">
        <v>61</v>
      </c>
      <c r="S33" s="1146">
        <f t="shared" si="12"/>
        <v>100</v>
      </c>
      <c r="T33" s="1145" t="s">
        <v>61</v>
      </c>
      <c r="U33" s="1146">
        <f t="shared" si="13"/>
        <v>100</v>
      </c>
      <c r="V33" s="1145" t="s">
        <v>61</v>
      </c>
      <c r="W33" s="1146">
        <f t="shared" si="14"/>
        <v>100</v>
      </c>
      <c r="X33" s="1132"/>
      <c r="Y33" s="3431" t="s">
        <v>1010</v>
      </c>
      <c r="Z33" s="1147" t="str">
        <f t="shared" si="15"/>
        <v>建筑类型</v>
      </c>
      <c r="AA33" s="1148">
        <f t="shared" si="3"/>
        <v>1</v>
      </c>
      <c r="AB33" s="1148">
        <f t="shared" si="4"/>
        <v>1</v>
      </c>
      <c r="AC33" s="1148">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50"/>
      <c r="Q34" s="1152" t="str">
        <f t="shared" si="11"/>
        <v>项目建筑规模</v>
      </c>
      <c r="R34" s="1153" t="s">
        <v>61</v>
      </c>
      <c r="S34" s="1154" t="e">
        <f t="shared" si="12"/>
        <v>#N/A</v>
      </c>
      <c r="T34" s="1153" t="s">
        <v>61</v>
      </c>
      <c r="U34" s="1154" t="e">
        <f t="shared" si="13"/>
        <v>#N/A</v>
      </c>
      <c r="V34" s="1153" t="s">
        <v>61</v>
      </c>
      <c r="W34" s="1154" t="e">
        <f t="shared" si="14"/>
        <v>#N/A</v>
      </c>
      <c r="X34" s="1155"/>
      <c r="Y34" s="3431"/>
      <c r="Z34" s="1156" t="str">
        <f t="shared" si="15"/>
        <v>项目建筑规模</v>
      </c>
      <c r="AA34" s="1148" t="e">
        <f t="shared" si="3"/>
        <v>#N/A</v>
      </c>
      <c r="AB34" s="1148" t="e">
        <f t="shared" si="4"/>
        <v>#N/A</v>
      </c>
      <c r="AC34" s="1148"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50"/>
      <c r="Q35" s="1144" t="str">
        <f t="shared" si="11"/>
        <v>建筑结构</v>
      </c>
      <c r="R35" s="1145" t="s">
        <v>61</v>
      </c>
      <c r="S35" s="1146">
        <f t="shared" si="12"/>
        <v>100</v>
      </c>
      <c r="T35" s="1145" t="s">
        <v>61</v>
      </c>
      <c r="U35" s="1146">
        <f t="shared" si="13"/>
        <v>100</v>
      </c>
      <c r="V35" s="1145" t="s">
        <v>61</v>
      </c>
      <c r="W35" s="1146">
        <f t="shared" si="14"/>
        <v>100</v>
      </c>
      <c r="X35" s="1132"/>
      <c r="Y35" s="3431"/>
      <c r="Z35" s="1147" t="str">
        <f t="shared" si="15"/>
        <v>建筑结构</v>
      </c>
      <c r="AA35" s="1148">
        <f t="shared" si="3"/>
        <v>1</v>
      </c>
      <c r="AB35" s="1148">
        <f t="shared" si="4"/>
        <v>1</v>
      </c>
      <c r="AC35" s="1148">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50"/>
      <c r="Q36" s="1144" t="str">
        <f t="shared" si="11"/>
        <v>公共部分装修</v>
      </c>
      <c r="R36" s="1145" t="s">
        <v>61</v>
      </c>
      <c r="S36" s="1146">
        <f t="shared" si="12"/>
        <v>100</v>
      </c>
      <c r="T36" s="1145" t="s">
        <v>61</v>
      </c>
      <c r="U36" s="1146">
        <f t="shared" si="13"/>
        <v>100</v>
      </c>
      <c r="V36" s="1145" t="s">
        <v>61</v>
      </c>
      <c r="W36" s="1146">
        <f t="shared" si="14"/>
        <v>100</v>
      </c>
      <c r="X36" s="1132"/>
      <c r="Y36" s="3431"/>
      <c r="Z36" s="1147" t="str">
        <f t="shared" si="15"/>
        <v>公共部分装修</v>
      </c>
      <c r="AA36" s="1148">
        <f t="shared" si="3"/>
        <v>1</v>
      </c>
      <c r="AB36" s="1148">
        <f t="shared" si="4"/>
        <v>1</v>
      </c>
      <c r="AC36" s="1148">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50"/>
      <c r="Q37" s="1144" t="str">
        <f t="shared" si="11"/>
        <v>成新度</v>
      </c>
      <c r="R37" s="1145" t="s">
        <v>61</v>
      </c>
      <c r="S37" s="1146" t="e">
        <f t="shared" si="12"/>
        <v>#N/A</v>
      </c>
      <c r="T37" s="1145" t="s">
        <v>61</v>
      </c>
      <c r="U37" s="1146" t="e">
        <f t="shared" si="13"/>
        <v>#N/A</v>
      </c>
      <c r="V37" s="1145" t="s">
        <v>61</v>
      </c>
      <c r="W37" s="1146" t="e">
        <f t="shared" si="14"/>
        <v>#N/A</v>
      </c>
      <c r="X37" s="1132"/>
      <c r="Y37" s="3431"/>
      <c r="Z37" s="1147" t="str">
        <f t="shared" si="15"/>
        <v>成新度</v>
      </c>
      <c r="AA37" s="1148" t="e">
        <f t="shared" si="3"/>
        <v>#N/A</v>
      </c>
      <c r="AB37" s="1148" t="e">
        <f t="shared" si="4"/>
        <v>#N/A</v>
      </c>
      <c r="AC37" s="1148"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50"/>
      <c r="Q38" s="2" t="str">
        <f t="shared" si="11"/>
        <v>写字楼等级</v>
      </c>
      <c r="R38" s="1134" t="s">
        <v>61</v>
      </c>
      <c r="S38" s="1135">
        <f t="shared" si="12"/>
        <v>100</v>
      </c>
      <c r="T38" s="1134" t="s">
        <v>61</v>
      </c>
      <c r="U38" s="1135">
        <f t="shared" si="13"/>
        <v>100</v>
      </c>
      <c r="V38" s="1134" t="s">
        <v>61</v>
      </c>
      <c r="W38" s="1135">
        <f t="shared" si="14"/>
        <v>100</v>
      </c>
      <c r="X38" s="184"/>
      <c r="Y38" s="3431"/>
      <c r="Z38" s="185" t="str">
        <f t="shared" si="15"/>
        <v>写字楼等级</v>
      </c>
      <c r="AA38" s="1136">
        <f t="shared" si="3"/>
        <v>1</v>
      </c>
      <c r="AB38" s="1136">
        <f t="shared" si="4"/>
        <v>1</v>
      </c>
      <c r="AC38" s="1136">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50" t="s">
        <v>66</v>
      </c>
      <c r="Q39" s="1144" t="str">
        <f t="shared" si="11"/>
        <v>物业管理</v>
      </c>
      <c r="R39" s="1145" t="s">
        <v>61</v>
      </c>
      <c r="S39" s="1146">
        <f t="shared" si="12"/>
        <v>100</v>
      </c>
      <c r="T39" s="1145" t="s">
        <v>61</v>
      </c>
      <c r="U39" s="1146">
        <f t="shared" si="13"/>
        <v>100</v>
      </c>
      <c r="V39" s="1145" t="s">
        <v>61</v>
      </c>
      <c r="W39" s="1146">
        <f t="shared" si="14"/>
        <v>100</v>
      </c>
      <c r="X39" s="1132"/>
      <c r="Y39" s="3431" t="s">
        <v>66</v>
      </c>
      <c r="Z39" s="1147" t="str">
        <f t="shared" si="15"/>
        <v>物业管理</v>
      </c>
      <c r="AA39" s="1148">
        <f t="shared" si="3"/>
        <v>1</v>
      </c>
      <c r="AB39" s="1148">
        <f t="shared" si="4"/>
        <v>1</v>
      </c>
      <c r="AC39" s="1148">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50"/>
      <c r="Q40" s="1144" t="str">
        <f t="shared" si="11"/>
        <v>市政基础设施</v>
      </c>
      <c r="R40" s="1145" t="s">
        <v>61</v>
      </c>
      <c r="S40" s="1146">
        <f t="shared" si="12"/>
        <v>100</v>
      </c>
      <c r="T40" s="1145" t="s">
        <v>61</v>
      </c>
      <c r="U40" s="1146">
        <f t="shared" si="13"/>
        <v>100</v>
      </c>
      <c r="V40" s="1145" t="s">
        <v>61</v>
      </c>
      <c r="W40" s="1146">
        <f t="shared" si="14"/>
        <v>100</v>
      </c>
      <c r="X40" s="1132"/>
      <c r="Y40" s="3431"/>
      <c r="Z40" s="1147" t="str">
        <f t="shared" si="15"/>
        <v>市政基础设施</v>
      </c>
      <c r="AA40" s="1148">
        <f t="shared" si="3"/>
        <v>1</v>
      </c>
      <c r="AB40" s="1148">
        <f t="shared" si="4"/>
        <v>1</v>
      </c>
      <c r="AC40" s="1148">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50"/>
      <c r="Q41" s="1144" t="str">
        <f t="shared" si="11"/>
        <v>层高</v>
      </c>
      <c r="R41" s="1145" t="s">
        <v>61</v>
      </c>
      <c r="S41" s="1146">
        <f t="shared" si="12"/>
        <v>100</v>
      </c>
      <c r="T41" s="1145" t="s">
        <v>61</v>
      </c>
      <c r="U41" s="1146">
        <f t="shared" si="13"/>
        <v>100</v>
      </c>
      <c r="V41" s="1145" t="s">
        <v>61</v>
      </c>
      <c r="W41" s="1146">
        <f t="shared" si="14"/>
        <v>100</v>
      </c>
      <c r="X41" s="1132"/>
      <c r="Y41" s="3431"/>
      <c r="Z41" s="1147" t="str">
        <f t="shared" si="15"/>
        <v>层高</v>
      </c>
      <c r="AA41" s="1148">
        <f t="shared" si="3"/>
        <v>1</v>
      </c>
      <c r="AB41" s="1148">
        <f t="shared" si="4"/>
        <v>1</v>
      </c>
      <c r="AC41" s="1148">
        <f t="shared" si="5"/>
        <v>1</v>
      </c>
    </row>
    <row r="42" spans="1:29" s="898" customFormat="1" ht="14.25">
      <c r="A42" s="902"/>
      <c r="B42" s="143" t="s">
        <v>1011</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50"/>
      <c r="Q42" s="1152" t="str">
        <f t="shared" si="11"/>
        <v>单套建筑面积</v>
      </c>
      <c r="R42" s="1153" t="s">
        <v>61</v>
      </c>
      <c r="S42" s="1154">
        <f t="shared" si="12"/>
        <v>100</v>
      </c>
      <c r="T42" s="1153" t="s">
        <v>61</v>
      </c>
      <c r="U42" s="1154">
        <f t="shared" si="13"/>
        <v>100</v>
      </c>
      <c r="V42" s="1153" t="s">
        <v>61</v>
      </c>
      <c r="W42" s="1154">
        <f t="shared" si="14"/>
        <v>100</v>
      </c>
      <c r="X42" s="1155"/>
      <c r="Y42" s="3431"/>
      <c r="Z42" s="1156" t="str">
        <f t="shared" si="15"/>
        <v>单套建筑面积</v>
      </c>
      <c r="AA42" s="1148">
        <f t="shared" si="3"/>
        <v>1</v>
      </c>
      <c r="AB42" s="1148">
        <f t="shared" si="4"/>
        <v>1</v>
      </c>
      <c r="AC42" s="1148">
        <f t="shared" si="5"/>
        <v>1</v>
      </c>
    </row>
    <row r="43" spans="1:29" ht="15">
      <c r="A43" s="111"/>
      <c r="B43" s="4" t="s">
        <v>1012</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50"/>
      <c r="Q43" s="1144" t="str">
        <f t="shared" si="11"/>
        <v>内部装修</v>
      </c>
      <c r="R43" s="1145" t="s">
        <v>61</v>
      </c>
      <c r="S43" s="1146">
        <f t="shared" si="12"/>
        <v>100</v>
      </c>
      <c r="T43" s="1145" t="s">
        <v>61</v>
      </c>
      <c r="U43" s="1146">
        <f t="shared" si="13"/>
        <v>100</v>
      </c>
      <c r="V43" s="1145" t="s">
        <v>61</v>
      </c>
      <c r="W43" s="1146">
        <f t="shared" si="14"/>
        <v>100</v>
      </c>
      <c r="X43" s="1132"/>
      <c r="Y43" s="3431"/>
      <c r="Z43" s="1147" t="str">
        <f t="shared" si="15"/>
        <v>内部装修</v>
      </c>
      <c r="AA43" s="1148">
        <f t="shared" si="3"/>
        <v>1</v>
      </c>
      <c r="AB43" s="1148">
        <f t="shared" si="4"/>
        <v>1</v>
      </c>
      <c r="AC43" s="1148">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50"/>
      <c r="Q44" s="1144" t="str">
        <f t="shared" si="11"/>
        <v>内部装修维护情况</v>
      </c>
      <c r="R44" s="1145" t="s">
        <v>61</v>
      </c>
      <c r="S44" s="1146">
        <f t="shared" si="12"/>
        <v>100</v>
      </c>
      <c r="T44" s="1145" t="s">
        <v>61</v>
      </c>
      <c r="U44" s="1146">
        <f t="shared" si="13"/>
        <v>100</v>
      </c>
      <c r="V44" s="1145" t="s">
        <v>61</v>
      </c>
      <c r="W44" s="1146">
        <f t="shared" si="14"/>
        <v>100</v>
      </c>
      <c r="X44" s="1132"/>
      <c r="Y44" s="3431"/>
      <c r="Z44" s="1147" t="str">
        <f t="shared" si="15"/>
        <v>内部装修维护情况</v>
      </c>
      <c r="AA44" s="1148">
        <f t="shared" si="3"/>
        <v>1</v>
      </c>
      <c r="AB44" s="1148">
        <f t="shared" si="4"/>
        <v>1</v>
      </c>
      <c r="AC44" s="1148">
        <f t="shared" si="5"/>
        <v>1</v>
      </c>
    </row>
    <row r="45" spans="1:29" s="11" customFormat="1" ht="14.25">
      <c r="A45" s="900"/>
      <c r="B45" s="1150">
        <v>111</v>
      </c>
      <c r="C45" s="1151"/>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50"/>
      <c r="Q45" s="2">
        <f t="shared" si="11"/>
        <v>111</v>
      </c>
      <c r="R45" s="1134" t="s">
        <v>61</v>
      </c>
      <c r="S45" s="1135">
        <f t="shared" si="12"/>
        <v>100</v>
      </c>
      <c r="T45" s="1134" t="s">
        <v>61</v>
      </c>
      <c r="U45" s="1135">
        <f t="shared" si="13"/>
        <v>100</v>
      </c>
      <c r="V45" s="1134" t="s">
        <v>61</v>
      </c>
      <c r="W45" s="1135">
        <f t="shared" si="14"/>
        <v>100</v>
      </c>
      <c r="X45" s="184"/>
      <c r="Y45" s="3431"/>
      <c r="Z45" s="185">
        <f t="shared" si="15"/>
        <v>111</v>
      </c>
      <c r="AA45" s="1136">
        <f t="shared" si="3"/>
        <v>1</v>
      </c>
      <c r="AB45" s="1136">
        <f t="shared" si="4"/>
        <v>1</v>
      </c>
      <c r="AC45" s="1136">
        <f t="shared" si="5"/>
        <v>1</v>
      </c>
    </row>
    <row r="46" spans="1:29" ht="14.25">
      <c r="A46" s="111"/>
      <c r="B46" s="1150">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50"/>
      <c r="Q46" s="1144">
        <f t="shared" si="11"/>
        <v>111</v>
      </c>
      <c r="R46" s="1145" t="s">
        <v>61</v>
      </c>
      <c r="S46" s="1146">
        <f t="shared" si="12"/>
        <v>100</v>
      </c>
      <c r="T46" s="1145" t="s">
        <v>61</v>
      </c>
      <c r="U46" s="1146">
        <f t="shared" si="13"/>
        <v>100</v>
      </c>
      <c r="V46" s="1145" t="s">
        <v>61</v>
      </c>
      <c r="W46" s="1146">
        <f t="shared" si="14"/>
        <v>100</v>
      </c>
      <c r="X46" s="1132"/>
      <c r="Y46" s="3431"/>
      <c r="Z46" s="1147">
        <f t="shared" si="15"/>
        <v>111</v>
      </c>
      <c r="AA46" s="1148">
        <f t="shared" si="3"/>
        <v>1</v>
      </c>
      <c r="AB46" s="1148">
        <f t="shared" si="4"/>
        <v>1</v>
      </c>
      <c r="AC46" s="1148">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51"/>
      <c r="Q47" s="1144">
        <f t="shared" si="11"/>
        <v>111</v>
      </c>
      <c r="R47" s="1145" t="s">
        <v>61</v>
      </c>
      <c r="S47" s="1146">
        <f t="shared" si="12"/>
        <v>100</v>
      </c>
      <c r="T47" s="1145" t="s">
        <v>61</v>
      </c>
      <c r="U47" s="1146">
        <f t="shared" si="13"/>
        <v>100</v>
      </c>
      <c r="V47" s="1145" t="s">
        <v>61</v>
      </c>
      <c r="W47" s="1146">
        <f t="shared" si="14"/>
        <v>100</v>
      </c>
      <c r="X47" s="1132"/>
      <c r="Y47" s="3432"/>
      <c r="Z47" s="1147">
        <f t="shared" si="15"/>
        <v>111</v>
      </c>
      <c r="AA47" s="1148">
        <f t="shared" si="3"/>
        <v>1</v>
      </c>
      <c r="AB47" s="1148">
        <f t="shared" si="4"/>
        <v>1</v>
      </c>
      <c r="AC47" s="1148">
        <f t="shared" si="5"/>
        <v>1</v>
      </c>
    </row>
    <row r="48" spans="1:29" ht="15">
      <c r="A48" s="113" t="s">
        <v>952</v>
      </c>
      <c r="B48" s="114"/>
      <c r="C48" s="2608" t="s">
        <v>20</v>
      </c>
      <c r="D48" s="2609"/>
      <c r="E48" s="2610"/>
      <c r="F48" s="2611"/>
      <c r="G48" s="2612"/>
      <c r="H48" s="2613"/>
      <c r="I48" s="2610"/>
      <c r="J48" s="2613"/>
      <c r="K48" s="1187"/>
      <c r="L48" s="2170"/>
      <c r="M48" s="2163"/>
      <c r="N48" s="2163"/>
      <c r="O48" s="2163"/>
      <c r="P48" s="3444" t="str">
        <f>A48</f>
        <v>成交单价（元/平方米）</v>
      </c>
      <c r="Q48" s="3437"/>
      <c r="R48" s="3438">
        <f>E48</f>
        <v>0</v>
      </c>
      <c r="S48" s="3438"/>
      <c r="T48" s="3438">
        <f>G48</f>
        <v>0</v>
      </c>
      <c r="U48" s="3438"/>
      <c r="V48" s="3438">
        <f>I48</f>
        <v>0</v>
      </c>
      <c r="W48" s="3438"/>
      <c r="X48" s="1158"/>
      <c r="Y48" s="1159"/>
      <c r="Z48" s="1158"/>
      <c r="AA48" s="1158"/>
      <c r="AB48" s="1158"/>
      <c r="AC48" s="1158"/>
    </row>
    <row r="49" spans="1:29" ht="15.75" thickBot="1">
      <c r="A49" s="115" t="s">
        <v>953</v>
      </c>
      <c r="B49" s="116"/>
      <c r="C49" s="2614" t="e">
        <f>R50</f>
        <v>#DIV/0!</v>
      </c>
      <c r="D49" s="2615"/>
      <c r="E49" s="2616" t="e">
        <f>R49</f>
        <v>#DIV/0!</v>
      </c>
      <c r="F49" s="2616"/>
      <c r="G49" s="2614" t="e">
        <f>T49</f>
        <v>#DIV/0!</v>
      </c>
      <c r="H49" s="2615"/>
      <c r="I49" s="2616" t="e">
        <f>V49</f>
        <v>#DIV/0!</v>
      </c>
      <c r="J49" s="2615"/>
      <c r="K49" s="1188"/>
      <c r="L49" s="2170"/>
      <c r="M49" s="2163"/>
      <c r="N49" s="2163"/>
      <c r="O49" s="2163"/>
      <c r="P49" s="3444" t="str">
        <f>A49</f>
        <v>比较价值（元/平方米）</v>
      </c>
      <c r="Q49" s="3437"/>
      <c r="R49" s="3438" t="e">
        <f>IF(E1="售价",ROUND(PRODUCT(R48,AA7:AA47),0),ROUND(PRODUCT(R48,AA7:AA47),1))</f>
        <v>#DIV/0!</v>
      </c>
      <c r="S49" s="3438"/>
      <c r="T49" s="3438" t="e">
        <f>IF(E1="售价",ROUND(PRODUCT(T48,AB7:AB47),0),ROUND(PRODUCT(T48,AB7:AB47),1))</f>
        <v>#DIV/0!</v>
      </c>
      <c r="U49" s="3438"/>
      <c r="V49" s="3438" t="e">
        <f>IF(E1="售价",ROUND(PRODUCT(V48,AC7:AC47),0),ROUND(PRODUCT(V48,AC7:AC47),1))</f>
        <v>#DIV/0!</v>
      </c>
      <c r="W49" s="3438"/>
      <c r="X49" s="1158"/>
      <c r="Y49" s="1158"/>
      <c r="Z49" s="1158"/>
      <c r="AA49" s="1158"/>
      <c r="AB49" s="1158"/>
      <c r="AC49" s="1158"/>
    </row>
    <row r="50" spans="1:29" ht="15.75" thickBot="1">
      <c r="A50" s="62" t="s">
        <v>2887</v>
      </c>
      <c r="B50" s="63"/>
      <c r="C50" s="2618" t="e">
        <f>R50</f>
        <v>#DIV/0!</v>
      </c>
      <c r="D50" s="2618"/>
      <c r="E50" s="2618"/>
      <c r="F50" s="2618"/>
      <c r="G50" s="2618"/>
      <c r="H50" s="2618"/>
      <c r="I50" s="2618"/>
      <c r="J50" s="2618"/>
      <c r="K50" s="1189"/>
      <c r="L50" s="2170"/>
      <c r="M50" s="2163"/>
      <c r="N50" s="2163"/>
      <c r="O50" s="2163"/>
      <c r="P50" s="3452" t="str">
        <f>A50</f>
        <v>估价对象XX用房的比较价值（楼面单价，元/平方米）</v>
      </c>
      <c r="Q50" s="3444"/>
      <c r="R50" s="3445" t="e">
        <f>IF(E1="售价",ROUND(AVERAGE(R49:V49),0),ROUND(AVERAGE(R49:V49),1))</f>
        <v>#DIV/0!</v>
      </c>
      <c r="S50" s="3445"/>
      <c r="T50" s="3445"/>
      <c r="U50" s="3445"/>
      <c r="V50" s="3445"/>
      <c r="W50" s="3445"/>
      <c r="X50" s="1158"/>
      <c r="Y50" s="1158"/>
      <c r="Z50" s="1158"/>
      <c r="AA50" s="1158"/>
      <c r="AB50" s="1158"/>
      <c r="AC50" s="1158"/>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922</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923</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924</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4" t="s">
        <v>955</v>
      </c>
      <c r="B58" s="1158"/>
      <c r="C58" s="1165"/>
      <c r="D58" s="1165"/>
      <c r="E58" s="1165"/>
      <c r="F58" s="1166"/>
      <c r="G58" s="1166"/>
      <c r="H58" s="1165"/>
      <c r="I58" s="1165"/>
      <c r="J58" s="1165"/>
      <c r="K58" s="1167"/>
      <c r="L58" s="1168"/>
      <c r="M58" s="1165"/>
      <c r="N58" s="1165"/>
      <c r="O58" s="1165"/>
      <c r="P58" s="67"/>
      <c r="Q58" s="68"/>
    </row>
    <row r="59" spans="1:29" s="907" customFormat="1" ht="14.25">
      <c r="A59" s="904" t="s">
        <v>956</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957</v>
      </c>
      <c r="B61" s="911"/>
      <c r="C61" s="716"/>
      <c r="D61" s="717"/>
      <c r="E61" s="717"/>
      <c r="F61" s="717"/>
      <c r="G61" s="717"/>
      <c r="H61" s="717"/>
      <c r="I61" s="717"/>
      <c r="J61" s="717"/>
      <c r="K61" s="717"/>
      <c r="L61" s="717"/>
      <c r="M61" s="718"/>
      <c r="N61" s="717"/>
      <c r="O61" s="719"/>
      <c r="P61" s="68"/>
      <c r="Q61" s="68"/>
    </row>
    <row r="62" spans="1:29" s="11" customFormat="1">
      <c r="A62" s="912" t="s">
        <v>958</v>
      </c>
      <c r="B62" s="909"/>
      <c r="C62" s="913" t="s">
        <v>959</v>
      </c>
      <c r="D62" s="87"/>
      <c r="E62" s="87"/>
      <c r="F62" s="87"/>
      <c r="G62" s="87"/>
      <c r="H62" s="87"/>
      <c r="I62" s="87"/>
      <c r="J62" s="87"/>
      <c r="K62" s="87"/>
      <c r="L62" s="88"/>
      <c r="M62" s="914"/>
      <c r="N62" s="1182"/>
      <c r="O62" s="1182"/>
      <c r="P62" s="915"/>
      <c r="Q62" s="68"/>
    </row>
    <row r="63" spans="1:29" s="11" customFormat="1" ht="15" thickBot="1">
      <c r="A63" s="912"/>
      <c r="B63" s="909"/>
      <c r="C63" s="710">
        <v>100</v>
      </c>
      <c r="D63" s="711"/>
      <c r="E63" s="711"/>
      <c r="F63" s="711"/>
      <c r="G63" s="711"/>
      <c r="H63" s="711"/>
      <c r="I63" s="711"/>
      <c r="J63" s="711"/>
      <c r="K63" s="711"/>
      <c r="L63" s="711"/>
      <c r="M63" s="713"/>
      <c r="N63" s="1182"/>
      <c r="O63" s="1182"/>
      <c r="P63" s="68"/>
      <c r="Q63" s="68"/>
    </row>
    <row r="64" spans="1:29">
      <c r="A64" s="124" t="s">
        <v>960</v>
      </c>
      <c r="B64" s="183" t="s">
        <v>961</v>
      </c>
      <c r="C64" s="128">
        <f>C9</f>
        <v>0</v>
      </c>
      <c r="D64" s="69"/>
      <c r="E64" s="69"/>
      <c r="F64" s="69"/>
      <c r="G64" s="69"/>
      <c r="H64" s="69"/>
      <c r="I64" s="69"/>
      <c r="J64" s="69"/>
      <c r="K64" s="70"/>
      <c r="L64" s="71"/>
      <c r="M64" s="72"/>
      <c r="N64" s="1183"/>
      <c r="O64" s="1183"/>
      <c r="P64" s="1"/>
      <c r="Q64" s="68"/>
    </row>
    <row r="65" spans="1:17" ht="15" thickBot="1">
      <c r="A65" s="125"/>
      <c r="B65" s="916"/>
      <c r="C65" s="736">
        <v>100</v>
      </c>
      <c r="D65" s="736"/>
      <c r="E65" s="736"/>
      <c r="F65" s="736"/>
      <c r="G65" s="736"/>
      <c r="H65" s="736"/>
      <c r="I65" s="736"/>
      <c r="J65" s="736"/>
      <c r="K65" s="736"/>
      <c r="L65" s="736"/>
      <c r="M65" s="737"/>
      <c r="N65" s="1184"/>
      <c r="O65" s="1184"/>
      <c r="P65" s="1"/>
      <c r="Q65" s="68"/>
    </row>
    <row r="66" spans="1:17" ht="27.75" thickTop="1">
      <c r="A66" s="125"/>
      <c r="B66" s="917" t="s">
        <v>962</v>
      </c>
      <c r="C66" s="740" t="s">
        <v>925</v>
      </c>
      <c r="D66" s="740" t="s">
        <v>926</v>
      </c>
      <c r="E66" s="740" t="s">
        <v>927</v>
      </c>
      <c r="F66" s="740" t="s">
        <v>928</v>
      </c>
      <c r="G66" s="740" t="s">
        <v>929</v>
      </c>
      <c r="H66" s="740" t="s">
        <v>930</v>
      </c>
      <c r="I66" s="740" t="s">
        <v>931</v>
      </c>
      <c r="J66" s="740"/>
      <c r="K66" s="741"/>
      <c r="L66" s="742"/>
      <c r="M66" s="743"/>
      <c r="N66" s="1183"/>
      <c r="O66" s="1183"/>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4"/>
      <c r="O67" s="1184"/>
      <c r="P67" s="1"/>
      <c r="Q67" s="68"/>
    </row>
    <row r="68" spans="1:17" ht="15" thickTop="1">
      <c r="A68" s="125"/>
      <c r="B68" s="919" t="s">
        <v>963</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4"/>
      <c r="O68" s="1184"/>
      <c r="P68" s="1"/>
      <c r="Q68" s="68"/>
    </row>
    <row r="69" spans="1:17" ht="14.25">
      <c r="A69" s="125"/>
      <c r="B69" s="920"/>
      <c r="C69" s="750"/>
      <c r="D69" s="750"/>
      <c r="E69" s="750"/>
      <c r="F69" s="750"/>
      <c r="G69" s="750"/>
      <c r="H69" s="750"/>
      <c r="I69" s="750"/>
      <c r="J69" s="750"/>
      <c r="K69" s="751"/>
      <c r="L69" s="752"/>
      <c r="M69" s="753"/>
      <c r="N69" s="1183"/>
      <c r="O69" s="1183"/>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4"/>
      <c r="O70" s="1184"/>
      <c r="P70" s="1"/>
      <c r="Q70" s="68"/>
    </row>
    <row r="71" spans="1:17" s="898" customFormat="1" ht="14.25" thickTop="1">
      <c r="A71" s="921"/>
      <c r="B71" s="917">
        <f>B12</f>
        <v>111</v>
      </c>
      <c r="C71" s="86"/>
      <c r="D71" s="86"/>
      <c r="E71" s="86"/>
      <c r="F71" s="86"/>
      <c r="G71" s="86"/>
      <c r="H71" s="922"/>
      <c r="I71" s="922"/>
      <c r="J71" s="922"/>
      <c r="K71" s="922"/>
      <c r="L71" s="923"/>
      <c r="M71" s="924"/>
      <c r="N71" s="1185"/>
      <c r="O71" s="1185"/>
      <c r="P71" s="925"/>
      <c r="Q71" s="926"/>
    </row>
    <row r="72" spans="1:17" s="898" customFormat="1" ht="15" thickBot="1">
      <c r="A72" s="921"/>
      <c r="B72" s="918"/>
      <c r="C72" s="762"/>
      <c r="D72" s="736"/>
      <c r="E72" s="736"/>
      <c r="F72" s="736"/>
      <c r="G72" s="736"/>
      <c r="H72" s="736"/>
      <c r="I72" s="736"/>
      <c r="J72" s="736"/>
      <c r="K72" s="736"/>
      <c r="L72" s="736"/>
      <c r="M72" s="737"/>
      <c r="N72" s="1184"/>
      <c r="O72" s="1184"/>
      <c r="P72" s="925"/>
      <c r="Q72" s="926"/>
    </row>
    <row r="73" spans="1:17" s="898" customFormat="1" ht="14.25" thickTop="1">
      <c r="A73" s="921"/>
      <c r="B73" s="917">
        <f>B13</f>
        <v>111</v>
      </c>
      <c r="C73" s="86"/>
      <c r="D73" s="86"/>
      <c r="E73" s="86"/>
      <c r="F73" s="86"/>
      <c r="G73" s="86"/>
      <c r="H73" s="922"/>
      <c r="I73" s="922"/>
      <c r="J73" s="922"/>
      <c r="K73" s="922"/>
      <c r="L73" s="923"/>
      <c r="M73" s="924"/>
      <c r="N73" s="1185"/>
      <c r="O73" s="1185"/>
      <c r="P73" s="927"/>
      <c r="Q73" s="928"/>
    </row>
    <row r="74" spans="1:17" s="898" customFormat="1" ht="15" thickBot="1">
      <c r="A74" s="921"/>
      <c r="B74" s="918"/>
      <c r="C74" s="762"/>
      <c r="D74" s="762"/>
      <c r="E74" s="762"/>
      <c r="F74" s="762"/>
      <c r="G74" s="762"/>
      <c r="H74" s="764"/>
      <c r="I74" s="764"/>
      <c r="J74" s="764"/>
      <c r="K74" s="764"/>
      <c r="L74" s="764"/>
      <c r="M74" s="765"/>
      <c r="N74" s="1185"/>
      <c r="O74" s="1185"/>
      <c r="P74" s="925"/>
      <c r="Q74" s="926"/>
    </row>
    <row r="75" spans="1:17" s="898" customFormat="1" ht="14.25" thickTop="1">
      <c r="A75" s="921"/>
      <c r="B75" s="919">
        <f>B14</f>
        <v>111</v>
      </c>
      <c r="C75" s="87"/>
      <c r="D75" s="87"/>
      <c r="E75" s="87"/>
      <c r="F75" s="87"/>
      <c r="G75" s="87"/>
      <c r="H75" s="929"/>
      <c r="I75" s="929"/>
      <c r="J75" s="929"/>
      <c r="K75" s="929"/>
      <c r="L75" s="930"/>
      <c r="M75" s="931"/>
      <c r="N75" s="1185"/>
      <c r="O75" s="1185"/>
      <c r="P75" s="932"/>
      <c r="Q75" s="926"/>
    </row>
    <row r="76" spans="1:17" s="898" customFormat="1" ht="15" thickBot="1">
      <c r="A76" s="933"/>
      <c r="B76" s="934"/>
      <c r="C76" s="772"/>
      <c r="D76" s="772"/>
      <c r="E76" s="772"/>
      <c r="F76" s="772"/>
      <c r="G76" s="772"/>
      <c r="H76" s="773"/>
      <c r="I76" s="773"/>
      <c r="J76" s="773"/>
      <c r="K76" s="773"/>
      <c r="L76" s="773"/>
      <c r="M76" s="774"/>
      <c r="N76" s="1185"/>
      <c r="O76" s="1185"/>
      <c r="P76" s="925"/>
      <c r="Q76" s="926"/>
    </row>
    <row r="77" spans="1:17" ht="14.25">
      <c r="A77" s="124" t="s">
        <v>964</v>
      </c>
      <c r="B77" s="183" t="s">
        <v>1013</v>
      </c>
      <c r="C77" s="775" t="s">
        <v>932</v>
      </c>
      <c r="D77" s="775" t="s">
        <v>933</v>
      </c>
      <c r="E77" s="775" t="s">
        <v>934</v>
      </c>
      <c r="F77" s="775" t="s">
        <v>935</v>
      </c>
      <c r="G77" s="775" t="s">
        <v>936</v>
      </c>
      <c r="H77" s="728"/>
      <c r="I77" s="728"/>
      <c r="J77" s="728"/>
      <c r="K77" s="776"/>
      <c r="L77" s="777"/>
      <c r="M77" s="778"/>
      <c r="N77" s="1183"/>
      <c r="O77" s="1183"/>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4"/>
      <c r="O78" s="1184"/>
      <c r="P78" s="1"/>
      <c r="Q78" s="68"/>
    </row>
    <row r="79" spans="1:17" ht="15" thickTop="1">
      <c r="A79" s="125"/>
      <c r="B79" s="917" t="s">
        <v>971</v>
      </c>
      <c r="C79" s="780" t="s">
        <v>932</v>
      </c>
      <c r="D79" s="780" t="s">
        <v>933</v>
      </c>
      <c r="E79" s="780" t="s">
        <v>934</v>
      </c>
      <c r="F79" s="780" t="s">
        <v>1020</v>
      </c>
      <c r="G79" s="780" t="s">
        <v>936</v>
      </c>
      <c r="H79" s="740"/>
      <c r="I79" s="740"/>
      <c r="J79" s="740"/>
      <c r="K79" s="741"/>
      <c r="L79" s="742"/>
      <c r="M79" s="743"/>
      <c r="N79" s="1183"/>
      <c r="O79" s="1183"/>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4"/>
      <c r="O80" s="1184"/>
      <c r="P80" s="1"/>
      <c r="Q80" s="68"/>
    </row>
    <row r="81" spans="1:17" ht="15" thickTop="1">
      <c r="A81" s="125"/>
      <c r="B81" s="917" t="s">
        <v>2540</v>
      </c>
      <c r="C81" s="780" t="s">
        <v>932</v>
      </c>
      <c r="D81" s="780" t="s">
        <v>933</v>
      </c>
      <c r="E81" s="780" t="s">
        <v>934</v>
      </c>
      <c r="F81" s="780" t="s">
        <v>935</v>
      </c>
      <c r="G81" s="780" t="s">
        <v>936</v>
      </c>
      <c r="H81" s="740"/>
      <c r="I81" s="740"/>
      <c r="J81" s="740"/>
      <c r="K81" s="741"/>
      <c r="L81" s="742"/>
      <c r="M81" s="743"/>
      <c r="N81" s="1183"/>
      <c r="O81" s="1183"/>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4"/>
      <c r="O82" s="1184"/>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58"/>
      <c r="N83" s="1184"/>
      <c r="O83" s="1184"/>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4"/>
      <c r="O84" s="1184"/>
      <c r="P84" s="1"/>
      <c r="Q84" s="68"/>
    </row>
    <row r="85" spans="1:17" ht="15" thickTop="1">
      <c r="A85" s="125"/>
      <c r="B85" s="917" t="s">
        <v>1014</v>
      </c>
      <c r="C85" s="780" t="s">
        <v>932</v>
      </c>
      <c r="D85" s="780" t="s">
        <v>933</v>
      </c>
      <c r="E85" s="780" t="s">
        <v>934</v>
      </c>
      <c r="F85" s="780" t="s">
        <v>935</v>
      </c>
      <c r="G85" s="780" t="s">
        <v>936</v>
      </c>
      <c r="H85" s="740"/>
      <c r="I85" s="740"/>
      <c r="J85" s="740"/>
      <c r="K85" s="741"/>
      <c r="L85" s="742"/>
      <c r="M85" s="743"/>
      <c r="N85" s="1183"/>
      <c r="O85" s="1183"/>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4"/>
      <c r="O86" s="1184"/>
      <c r="P86" s="1"/>
      <c r="Q86" s="68"/>
    </row>
    <row r="87" spans="1:17" s="11" customFormat="1" ht="27.75" thickTop="1">
      <c r="A87" s="935"/>
      <c r="B87" s="917" t="s">
        <v>1015</v>
      </c>
      <c r="C87" s="86"/>
      <c r="D87" s="86"/>
      <c r="E87" s="86"/>
      <c r="F87" s="86"/>
      <c r="G87" s="86"/>
      <c r="H87" s="86"/>
      <c r="I87" s="86"/>
      <c r="J87" s="86"/>
      <c r="K87" s="86"/>
      <c r="L87" s="1178"/>
      <c r="M87" s="1179"/>
      <c r="N87" s="1182"/>
      <c r="O87" s="1182"/>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4"/>
      <c r="O88" s="1184"/>
      <c r="P88" s="1"/>
      <c r="Q88" s="68"/>
    </row>
    <row r="89" spans="1:17" s="11" customFormat="1" ht="14.25" thickTop="1">
      <c r="A89" s="935"/>
      <c r="B89" s="917" t="str">
        <f>B27</f>
        <v>楼层</v>
      </c>
      <c r="C89" s="86"/>
      <c r="D89" s="86"/>
      <c r="E89" s="86"/>
      <c r="F89" s="1180"/>
      <c r="G89" s="86"/>
      <c r="H89" s="86"/>
      <c r="I89" s="86"/>
      <c r="J89" s="86"/>
      <c r="K89" s="86"/>
      <c r="L89" s="86"/>
      <c r="M89" s="1179"/>
      <c r="N89" s="1182"/>
      <c r="O89" s="1182"/>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4"/>
      <c r="O90" s="1184"/>
      <c r="P90" s="1"/>
      <c r="Q90" s="68"/>
    </row>
    <row r="91" spans="1:17" s="898" customFormat="1" ht="14.25" thickTop="1">
      <c r="A91" s="921"/>
      <c r="B91" s="917" t="str">
        <f>B28</f>
        <v>朝向</v>
      </c>
      <c r="C91" s="86"/>
      <c r="D91" s="86"/>
      <c r="E91" s="86"/>
      <c r="F91" s="86"/>
      <c r="G91" s="86"/>
      <c r="H91" s="922"/>
      <c r="I91" s="922"/>
      <c r="J91" s="922"/>
      <c r="K91" s="922"/>
      <c r="L91" s="923"/>
      <c r="M91" s="924"/>
      <c r="N91" s="1185"/>
      <c r="O91" s="1185"/>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5"/>
      <c r="O92" s="1185"/>
      <c r="P92" s="925"/>
      <c r="Q92" s="926"/>
    </row>
    <row r="93" spans="1:17" ht="14.25" thickTop="1">
      <c r="A93" s="125"/>
      <c r="B93" s="917">
        <f>B29</f>
        <v>111</v>
      </c>
      <c r="C93" s="86"/>
      <c r="D93" s="86"/>
      <c r="E93" s="86"/>
      <c r="F93" s="86"/>
      <c r="G93" s="86"/>
      <c r="H93" s="86"/>
      <c r="I93" s="86"/>
      <c r="J93" s="86"/>
      <c r="K93" s="86"/>
      <c r="L93" s="1178"/>
      <c r="M93" s="1179"/>
      <c r="N93" s="1183"/>
      <c r="O93" s="1183"/>
      <c r="P93" s="1"/>
      <c r="Q93" s="68"/>
    </row>
    <row r="94" spans="1:17" ht="15" thickBot="1">
      <c r="A94" s="125"/>
      <c r="B94" s="918"/>
      <c r="C94" s="762"/>
      <c r="D94" s="736"/>
      <c r="E94" s="736"/>
      <c r="F94" s="736"/>
      <c r="G94" s="736"/>
      <c r="H94" s="736"/>
      <c r="I94" s="736"/>
      <c r="J94" s="736"/>
      <c r="K94" s="736"/>
      <c r="L94" s="736"/>
      <c r="M94" s="737"/>
      <c r="N94" s="1184"/>
      <c r="O94" s="1184"/>
      <c r="P94" s="1"/>
      <c r="Q94" s="68"/>
    </row>
    <row r="95" spans="1:17" ht="14.25" thickTop="1">
      <c r="A95" s="125"/>
      <c r="B95" s="917">
        <f>B30</f>
        <v>111</v>
      </c>
      <c r="C95" s="86"/>
      <c r="D95" s="86"/>
      <c r="E95" s="86"/>
      <c r="F95" s="86"/>
      <c r="G95" s="78"/>
      <c r="H95" s="78"/>
      <c r="I95" s="78"/>
      <c r="J95" s="78"/>
      <c r="K95" s="79"/>
      <c r="L95" s="80"/>
      <c r="M95" s="81"/>
      <c r="N95" s="1183"/>
      <c r="O95" s="1183"/>
      <c r="P95" s="1"/>
      <c r="Q95" s="68"/>
    </row>
    <row r="96" spans="1:17" ht="15" thickBot="1">
      <c r="A96" s="125"/>
      <c r="B96" s="918"/>
      <c r="C96" s="762"/>
      <c r="D96" s="762"/>
      <c r="E96" s="762"/>
      <c r="F96" s="762"/>
      <c r="G96" s="736"/>
      <c r="H96" s="736"/>
      <c r="I96" s="736"/>
      <c r="J96" s="736"/>
      <c r="K96" s="736"/>
      <c r="L96" s="736"/>
      <c r="M96" s="737"/>
      <c r="N96" s="1184"/>
      <c r="O96" s="1184"/>
      <c r="P96" s="1"/>
      <c r="Q96" s="68"/>
    </row>
    <row r="97" spans="1:17" ht="14.25" thickTop="1">
      <c r="A97" s="125"/>
      <c r="B97" s="917">
        <f>B31</f>
        <v>111</v>
      </c>
      <c r="C97" s="86"/>
      <c r="D97" s="86"/>
      <c r="E97" s="86"/>
      <c r="F97" s="86"/>
      <c r="G97" s="78"/>
      <c r="H97" s="78"/>
      <c r="I97" s="78"/>
      <c r="J97" s="78"/>
      <c r="K97" s="79"/>
      <c r="L97" s="80"/>
      <c r="M97" s="81"/>
      <c r="N97" s="1183"/>
      <c r="O97" s="1183"/>
      <c r="P97" s="1"/>
      <c r="Q97" s="68"/>
    </row>
    <row r="98" spans="1:17" ht="15" thickBot="1">
      <c r="A98" s="125"/>
      <c r="B98" s="918"/>
      <c r="C98" s="762"/>
      <c r="D98" s="736"/>
      <c r="E98" s="736"/>
      <c r="F98" s="736"/>
      <c r="G98" s="736"/>
      <c r="H98" s="736"/>
      <c r="I98" s="736"/>
      <c r="J98" s="736"/>
      <c r="K98" s="736"/>
      <c r="L98" s="736"/>
      <c r="M98" s="737"/>
      <c r="N98" s="1184"/>
      <c r="O98" s="1184"/>
      <c r="P98" s="1"/>
      <c r="Q98" s="68"/>
    </row>
    <row r="99" spans="1:17" ht="14.25" thickTop="1">
      <c r="A99" s="125"/>
      <c r="B99" s="919">
        <f>B32</f>
        <v>111</v>
      </c>
      <c r="C99" s="87"/>
      <c r="D99" s="87"/>
      <c r="E99" s="87"/>
      <c r="F99" s="87"/>
      <c r="G99" s="82"/>
      <c r="H99" s="82"/>
      <c r="I99" s="82"/>
      <c r="J99" s="82"/>
      <c r="K99" s="83"/>
      <c r="L99" s="84"/>
      <c r="M99" s="85"/>
      <c r="N99" s="1183"/>
      <c r="O99" s="1183"/>
      <c r="P99" s="1"/>
      <c r="Q99" s="68"/>
    </row>
    <row r="100" spans="1:17" ht="15" thickBot="1">
      <c r="A100" s="126"/>
      <c r="B100" s="934"/>
      <c r="C100" s="772"/>
      <c r="D100" s="772"/>
      <c r="E100" s="772"/>
      <c r="F100" s="772"/>
      <c r="G100" s="793"/>
      <c r="H100" s="793"/>
      <c r="I100" s="793"/>
      <c r="J100" s="793"/>
      <c r="K100" s="793"/>
      <c r="L100" s="793"/>
      <c r="M100" s="794"/>
      <c r="N100" s="1184"/>
      <c r="O100" s="1184"/>
      <c r="P100" s="1"/>
      <c r="Q100" s="68"/>
    </row>
    <row r="101" spans="1:17">
      <c r="A101" s="124" t="s">
        <v>974</v>
      </c>
      <c r="B101" s="183" t="s">
        <v>1016</v>
      </c>
      <c r="C101" s="69"/>
      <c r="D101" s="69"/>
      <c r="E101" s="69"/>
      <c r="F101" s="69"/>
      <c r="G101" s="69"/>
      <c r="H101" s="69"/>
      <c r="I101" s="69"/>
      <c r="J101" s="69"/>
      <c r="K101" s="70"/>
      <c r="L101" s="71"/>
      <c r="M101" s="72"/>
      <c r="N101" s="1183"/>
      <c r="O101" s="1183"/>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4"/>
      <c r="O102" s="1184"/>
      <c r="P102" s="1"/>
      <c r="Q102" s="68"/>
    </row>
    <row r="103" spans="1:17" ht="15" thickTop="1">
      <c r="A103" s="125"/>
      <c r="B103" s="917" t="s">
        <v>976</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2"/>
      <c r="O103" s="1182"/>
      <c r="P103" s="1"/>
      <c r="Q103" s="68"/>
    </row>
    <row r="104" spans="1:17" s="898" customFormat="1" ht="14.25">
      <c r="A104" s="936"/>
      <c r="B104" s="937"/>
      <c r="C104" s="797"/>
      <c r="D104" s="797"/>
      <c r="E104" s="797"/>
      <c r="F104" s="797"/>
      <c r="G104" s="797"/>
      <c r="H104" s="797"/>
      <c r="I104" s="797"/>
      <c r="J104" s="798"/>
      <c r="K104" s="798"/>
      <c r="L104" s="799"/>
      <c r="M104" s="800"/>
      <c r="N104" s="1185"/>
      <c r="O104" s="1185"/>
      <c r="P104" s="925"/>
      <c r="Q104" s="926"/>
    </row>
    <row r="105" spans="1:17" s="898" customFormat="1" ht="15" thickBot="1">
      <c r="A105" s="921"/>
      <c r="B105" s="918"/>
      <c r="C105" s="762"/>
      <c r="D105" s="736"/>
      <c r="E105" s="736"/>
      <c r="F105" s="736"/>
      <c r="G105" s="736"/>
      <c r="H105" s="736"/>
      <c r="I105" s="736"/>
      <c r="J105" s="736"/>
      <c r="K105" s="736"/>
      <c r="L105" s="736"/>
      <c r="M105" s="737"/>
      <c r="N105" s="1184"/>
      <c r="O105" s="1184"/>
      <c r="P105" s="925"/>
      <c r="Q105" s="926"/>
    </row>
    <row r="106" spans="1:17" ht="14.25" thickTop="1">
      <c r="A106" s="127"/>
      <c r="B106" s="917" t="s">
        <v>977</v>
      </c>
      <c r="C106" s="86"/>
      <c r="D106" s="86"/>
      <c r="E106" s="78"/>
      <c r="F106" s="78"/>
      <c r="G106" s="78"/>
      <c r="H106" s="78"/>
      <c r="I106" s="78"/>
      <c r="J106" s="78"/>
      <c r="K106" s="79"/>
      <c r="L106" s="80"/>
      <c r="M106" s="81"/>
      <c r="N106" s="1183"/>
      <c r="O106" s="1183"/>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4"/>
      <c r="O107" s="1184"/>
      <c r="P107" s="1"/>
      <c r="Q107" s="68"/>
    </row>
    <row r="108" spans="1:17" ht="14.25" thickTop="1">
      <c r="A108" s="127"/>
      <c r="B108" s="917" t="s">
        <v>978</v>
      </c>
      <c r="C108" s="86"/>
      <c r="D108" s="86"/>
      <c r="E108" s="86"/>
      <c r="F108" s="78"/>
      <c r="G108" s="78"/>
      <c r="H108" s="78"/>
      <c r="I108" s="78"/>
      <c r="J108" s="78"/>
      <c r="K108" s="79"/>
      <c r="L108" s="80"/>
      <c r="M108" s="81"/>
      <c r="N108" s="1183"/>
      <c r="O108" s="1183"/>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4"/>
      <c r="O109" s="1184"/>
      <c r="P109" s="1"/>
      <c r="Q109" s="68"/>
    </row>
    <row r="110" spans="1:17" ht="15" thickTop="1">
      <c r="A110" s="127"/>
      <c r="B110" s="917" t="s">
        <v>979</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3"/>
      <c r="O110" s="1183"/>
      <c r="P110" s="1"/>
      <c r="Q110" s="68"/>
    </row>
    <row r="111" spans="1:17" ht="14.25">
      <c r="A111" s="127"/>
      <c r="B111" s="919"/>
      <c r="C111" s="805">
        <v>0.5</v>
      </c>
      <c r="D111" s="805">
        <v>0.6</v>
      </c>
      <c r="E111" s="805">
        <v>0.7</v>
      </c>
      <c r="F111" s="805">
        <v>0.8</v>
      </c>
      <c r="G111" s="805">
        <v>0.9</v>
      </c>
      <c r="H111" s="805">
        <v>1</v>
      </c>
      <c r="I111" s="135"/>
      <c r="J111" s="135"/>
      <c r="K111" s="136"/>
      <c r="L111" s="137"/>
      <c r="M111" s="138"/>
      <c r="N111" s="1183"/>
      <c r="O111" s="1183"/>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4"/>
      <c r="O112" s="1184"/>
      <c r="P112" s="1"/>
      <c r="Q112" s="68"/>
    </row>
    <row r="113" spans="1:17" s="898" customFormat="1" ht="14.25" thickTop="1">
      <c r="A113" s="936"/>
      <c r="B113" s="917" t="s">
        <v>1017</v>
      </c>
      <c r="C113" s="86"/>
      <c r="D113" s="86"/>
      <c r="E113" s="86"/>
      <c r="F113" s="86"/>
      <c r="G113" s="86"/>
      <c r="H113" s="78"/>
      <c r="I113" s="78"/>
      <c r="J113" s="78"/>
      <c r="K113" s="79"/>
      <c r="L113" s="80"/>
      <c r="M113" s="81"/>
      <c r="N113" s="1185"/>
      <c r="O113" s="1185"/>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5"/>
      <c r="O114" s="1185"/>
      <c r="P114" s="925"/>
      <c r="Q114" s="926"/>
    </row>
    <row r="115" spans="1:17" ht="14.25" thickTop="1">
      <c r="A115" s="127"/>
      <c r="B115" s="917" t="s">
        <v>1018</v>
      </c>
      <c r="C115" s="86"/>
      <c r="D115" s="86"/>
      <c r="E115" s="78"/>
      <c r="F115" s="78"/>
      <c r="G115" s="78"/>
      <c r="H115" s="78"/>
      <c r="I115" s="78"/>
      <c r="J115" s="78"/>
      <c r="K115" s="79"/>
      <c r="L115" s="80"/>
      <c r="M115" s="81"/>
      <c r="N115" s="1183"/>
      <c r="O115" s="1183"/>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4"/>
      <c r="O116" s="1184"/>
      <c r="P116" s="1"/>
      <c r="Q116" s="68"/>
    </row>
    <row r="117" spans="1:17" ht="14.25" thickTop="1">
      <c r="A117" s="127"/>
      <c r="B117" s="917" t="s">
        <v>2543</v>
      </c>
      <c r="C117" s="86"/>
      <c r="D117" s="86"/>
      <c r="E117" s="86"/>
      <c r="F117" s="86"/>
      <c r="G117" s="86"/>
      <c r="H117" s="78"/>
      <c r="I117" s="78"/>
      <c r="J117" s="78"/>
      <c r="K117" s="79"/>
      <c r="L117" s="80"/>
      <c r="M117" s="81"/>
      <c r="N117" s="1183"/>
      <c r="O117" s="1183"/>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4"/>
      <c r="O118" s="1184"/>
      <c r="P118" s="1"/>
      <c r="Q118" s="68"/>
    </row>
    <row r="119" spans="1:17" ht="14.25" thickTop="1">
      <c r="A119" s="127"/>
      <c r="B119" s="163" t="s">
        <v>981</v>
      </c>
      <c r="C119" s="78"/>
      <c r="D119" s="78"/>
      <c r="E119" s="78"/>
      <c r="F119" s="78"/>
      <c r="G119" s="78"/>
      <c r="H119" s="78"/>
      <c r="I119" s="78"/>
      <c r="J119" s="78"/>
      <c r="K119" s="78"/>
      <c r="L119" s="150"/>
      <c r="M119" s="151"/>
      <c r="N119" s="1184"/>
      <c r="O119" s="1184"/>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4"/>
      <c r="O120" s="1184"/>
      <c r="P120" s="1"/>
      <c r="Q120" s="68"/>
    </row>
    <row r="121" spans="1:17" s="898" customFormat="1" ht="15" thickTop="1">
      <c r="A121" s="936"/>
      <c r="B121" s="917" t="s">
        <v>982</v>
      </c>
      <c r="C121" s="755"/>
      <c r="D121" s="755"/>
      <c r="E121" s="755"/>
      <c r="F121" s="785"/>
      <c r="G121" s="756"/>
      <c r="H121" s="756"/>
      <c r="I121" s="756"/>
      <c r="J121" s="756"/>
      <c r="K121" s="756"/>
      <c r="L121" s="757"/>
      <c r="M121" s="758"/>
      <c r="N121" s="1185"/>
      <c r="O121" s="1185"/>
      <c r="P121" s="925"/>
      <c r="Q121" s="926"/>
    </row>
    <row r="122" spans="1:17" s="898" customFormat="1" ht="15" thickBot="1">
      <c r="A122" s="921"/>
      <c r="B122" s="916"/>
      <c r="C122" s="762"/>
      <c r="D122" s="762"/>
      <c r="E122" s="762"/>
      <c r="F122" s="762"/>
      <c r="G122" s="762"/>
      <c r="H122" s="762"/>
      <c r="I122" s="762"/>
      <c r="J122" s="762"/>
      <c r="K122" s="762"/>
      <c r="L122" s="762"/>
      <c r="M122" s="762"/>
      <c r="N122" s="1185"/>
      <c r="O122" s="1185"/>
      <c r="P122" s="925"/>
      <c r="Q122" s="926"/>
    </row>
    <row r="123" spans="1:17" ht="14.25" thickTop="1">
      <c r="A123" s="127"/>
      <c r="B123" s="917" t="s">
        <v>984</v>
      </c>
      <c r="C123" s="86"/>
      <c r="D123" s="86"/>
      <c r="E123" s="86"/>
      <c r="F123" s="78"/>
      <c r="G123" s="78"/>
      <c r="H123" s="78"/>
      <c r="I123" s="78"/>
      <c r="J123" s="78"/>
      <c r="K123" s="79"/>
      <c r="L123" s="80"/>
      <c r="M123" s="81"/>
      <c r="N123" s="1183"/>
      <c r="O123" s="1183"/>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4"/>
      <c r="O124" s="1184"/>
      <c r="P124" s="1"/>
      <c r="Q124" s="68"/>
    </row>
    <row r="125" spans="1:17" ht="27.75" thickTop="1">
      <c r="A125" s="127"/>
      <c r="B125" s="917" t="s">
        <v>985</v>
      </c>
      <c r="C125" s="780" t="s">
        <v>932</v>
      </c>
      <c r="D125" s="780" t="s">
        <v>933</v>
      </c>
      <c r="E125" s="780" t="s">
        <v>934</v>
      </c>
      <c r="F125" s="780" t="s">
        <v>935</v>
      </c>
      <c r="G125" s="780" t="s">
        <v>936</v>
      </c>
      <c r="H125" s="740"/>
      <c r="I125" s="740"/>
      <c r="J125" s="740"/>
      <c r="K125" s="741"/>
      <c r="L125" s="742"/>
      <c r="M125" s="743"/>
      <c r="N125" s="1183"/>
      <c r="O125" s="1183"/>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4"/>
      <c r="O126" s="1184"/>
      <c r="P126" s="1"/>
      <c r="Q126" s="68"/>
    </row>
    <row r="127" spans="1:17" s="898" customFormat="1" ht="14.25" thickTop="1">
      <c r="A127" s="936"/>
      <c r="B127" s="917">
        <f>B45</f>
        <v>111</v>
      </c>
      <c r="C127" s="86"/>
      <c r="D127" s="86"/>
      <c r="E127" s="86"/>
      <c r="F127" s="86"/>
      <c r="G127" s="86"/>
      <c r="H127" s="922"/>
      <c r="I127" s="922"/>
      <c r="J127" s="922"/>
      <c r="K127" s="922"/>
      <c r="L127" s="923"/>
      <c r="M127" s="924"/>
      <c r="N127" s="1185"/>
      <c r="O127" s="1185"/>
      <c r="P127" s="925"/>
      <c r="Q127" s="926"/>
    </row>
    <row r="128" spans="1:17" s="898" customFormat="1" ht="15" thickBot="1">
      <c r="A128" s="921"/>
      <c r="B128" s="918"/>
      <c r="C128" s="762"/>
      <c r="D128" s="736"/>
      <c r="E128" s="736"/>
      <c r="F128" s="736"/>
      <c r="G128" s="762"/>
      <c r="H128" s="764"/>
      <c r="I128" s="764"/>
      <c r="J128" s="764"/>
      <c r="K128" s="764"/>
      <c r="L128" s="764"/>
      <c r="M128" s="765"/>
      <c r="N128" s="1185"/>
      <c r="O128" s="1185"/>
      <c r="P128" s="925"/>
      <c r="Q128" s="926"/>
    </row>
    <row r="129" spans="1:17" ht="14.25" thickTop="1">
      <c r="A129" s="127"/>
      <c r="B129" s="917">
        <f>B46</f>
        <v>111</v>
      </c>
      <c r="C129" s="86"/>
      <c r="D129" s="86"/>
      <c r="E129" s="86"/>
      <c r="F129" s="86"/>
      <c r="G129" s="78"/>
      <c r="H129" s="78"/>
      <c r="I129" s="78"/>
      <c r="J129" s="78"/>
      <c r="K129" s="79"/>
      <c r="L129" s="80"/>
      <c r="M129" s="81"/>
      <c r="N129" s="1183"/>
      <c r="O129" s="1183"/>
      <c r="P129" s="1"/>
      <c r="Q129" s="68"/>
    </row>
    <row r="130" spans="1:17" ht="15" thickBot="1">
      <c r="A130" s="125"/>
      <c r="B130" s="918"/>
      <c r="C130" s="762"/>
      <c r="D130" s="762"/>
      <c r="E130" s="762"/>
      <c r="F130" s="762"/>
      <c r="G130" s="736"/>
      <c r="H130" s="736"/>
      <c r="I130" s="736"/>
      <c r="J130" s="736"/>
      <c r="K130" s="736"/>
      <c r="L130" s="736"/>
      <c r="M130" s="737"/>
      <c r="N130" s="1184"/>
      <c r="O130" s="1184"/>
      <c r="P130" s="1"/>
      <c r="Q130" s="68"/>
    </row>
    <row r="131" spans="1:17" ht="14.25" thickTop="1">
      <c r="A131" s="127"/>
      <c r="B131" s="919">
        <f>B47</f>
        <v>111</v>
      </c>
      <c r="C131" s="87"/>
      <c r="D131" s="87"/>
      <c r="E131" s="87"/>
      <c r="F131" s="87"/>
      <c r="G131" s="82"/>
      <c r="H131" s="82"/>
      <c r="I131" s="82"/>
      <c r="J131" s="82"/>
      <c r="K131" s="87"/>
      <c r="L131" s="88"/>
      <c r="M131" s="85"/>
      <c r="N131" s="1183"/>
      <c r="O131" s="1183"/>
      <c r="P131" s="1"/>
      <c r="Q131" s="68"/>
    </row>
    <row r="132" spans="1:17" ht="15" thickBot="1">
      <c r="A132" s="2197"/>
      <c r="B132" s="934"/>
      <c r="C132" s="772"/>
      <c r="D132" s="772"/>
      <c r="E132" s="772"/>
      <c r="F132" s="772"/>
      <c r="G132" s="793"/>
      <c r="H132" s="793"/>
      <c r="I132" s="793"/>
      <c r="J132" s="793"/>
      <c r="K132" s="793"/>
      <c r="L132" s="793"/>
      <c r="M132" s="794"/>
      <c r="N132" s="1184"/>
      <c r="O132" s="1184"/>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1021</v>
      </c>
      <c r="B1" s="2890" t="s">
        <v>1022</v>
      </c>
      <c r="C1" s="2891"/>
      <c r="D1" s="2895"/>
      <c r="E1" s="2893"/>
      <c r="F1" s="2894" t="s">
        <v>1023</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1024</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6"/>
      <c r="Q2" s="1126"/>
      <c r="R2" s="1126"/>
      <c r="S2" s="1126"/>
      <c r="T2" s="1126"/>
      <c r="U2" s="1126"/>
      <c r="V2" s="1126"/>
      <c r="W2" s="1126"/>
      <c r="X2" s="1126"/>
      <c r="Y2" s="1126"/>
      <c r="Z2" s="1126"/>
      <c r="AA2" s="1126"/>
      <c r="AB2" s="1126"/>
      <c r="AC2" s="1186"/>
    </row>
    <row r="3" spans="1:29" s="37" customFormat="1" ht="28.5" customHeight="1" thickBot="1">
      <c r="A3" s="34" t="s">
        <v>1025</v>
      </c>
      <c r="B3" s="811" t="e">
        <f ca="1">ROUND(IF(D2="——",C43,IF(C2="万元",B2*10000/D3,B2/D3)),0)</f>
        <v>#DIV/0!</v>
      </c>
      <c r="C3" s="89" t="s">
        <v>1026</v>
      </c>
      <c r="D3" s="596">
        <f>IF(C1="仅计算典型户型",'数据-取费表'!E5,'数据-取费表'!B5)</f>
        <v>255.46</v>
      </c>
      <c r="E3" s="2187"/>
      <c r="F3" s="2186"/>
      <c r="G3" s="2187"/>
      <c r="H3" s="2187"/>
      <c r="I3" s="2187"/>
      <c r="J3" s="2187"/>
      <c r="K3" s="2190"/>
      <c r="L3" s="2188"/>
      <c r="M3" s="2189"/>
      <c r="N3" s="2189"/>
      <c r="O3" s="2189"/>
      <c r="P3" s="1126"/>
      <c r="Q3" s="1126"/>
      <c r="R3" s="1126"/>
      <c r="S3" s="1126"/>
      <c r="T3" s="1126"/>
      <c r="U3" s="1126"/>
      <c r="V3" s="1126"/>
      <c r="W3" s="1126"/>
      <c r="X3" s="1126"/>
      <c r="Y3" s="1126"/>
      <c r="Z3" s="1126"/>
      <c r="AA3" s="1126"/>
      <c r="AB3" s="1202"/>
      <c r="AC3" s="1186"/>
    </row>
    <row r="4" spans="1:29">
      <c r="A4" s="90" t="s">
        <v>1027</v>
      </c>
      <c r="B4" s="91"/>
      <c r="C4" s="3401" t="s">
        <v>1028</v>
      </c>
      <c r="D4" s="3402"/>
      <c r="E4" s="3403" t="s">
        <v>1029</v>
      </c>
      <c r="F4" s="3404"/>
      <c r="G4" s="3401" t="s">
        <v>1030</v>
      </c>
      <c r="H4" s="3402"/>
      <c r="I4" s="3401" t="s">
        <v>1031</v>
      </c>
      <c r="J4" s="3402"/>
      <c r="K4" s="139" t="s">
        <v>1032</v>
      </c>
      <c r="L4" s="2162"/>
      <c r="M4" s="2163"/>
      <c r="N4" s="2163"/>
      <c r="O4" s="2163"/>
      <c r="P4" s="3405" t="s">
        <v>1027</v>
      </c>
      <c r="Q4" s="3406"/>
      <c r="R4" s="3411" t="s">
        <v>1029</v>
      </c>
      <c r="S4" s="3412"/>
      <c r="T4" s="3411" t="s">
        <v>1030</v>
      </c>
      <c r="U4" s="3412"/>
      <c r="V4" s="3417" t="s">
        <v>1031</v>
      </c>
      <c r="W4" s="3417"/>
      <c r="X4" s="1132"/>
      <c r="Y4" s="3411" t="s">
        <v>1027</v>
      </c>
      <c r="Z4" s="3412"/>
      <c r="AA4" s="3398" t="s">
        <v>1029</v>
      </c>
      <c r="AB4" s="3399" t="s">
        <v>1030</v>
      </c>
      <c r="AC4" s="3398" t="s">
        <v>1031</v>
      </c>
    </row>
    <row r="5" spans="1:29">
      <c r="A5" s="93"/>
      <c r="B5" s="94"/>
      <c r="C5" s="3420" t="s">
        <v>1033</v>
      </c>
      <c r="D5" s="3421"/>
      <c r="E5" s="3418" t="s">
        <v>1034</v>
      </c>
      <c r="F5" s="3419"/>
      <c r="G5" s="3420" t="s">
        <v>1035</v>
      </c>
      <c r="H5" s="3421"/>
      <c r="I5" s="3420" t="s">
        <v>1036</v>
      </c>
      <c r="J5" s="3421"/>
      <c r="K5" s="139"/>
      <c r="L5" s="2162"/>
      <c r="M5" s="2163"/>
      <c r="N5" s="2163"/>
      <c r="O5" s="2163"/>
      <c r="P5" s="3407"/>
      <c r="Q5" s="3408"/>
      <c r="R5" s="3413"/>
      <c r="S5" s="3414"/>
      <c r="T5" s="3413"/>
      <c r="U5" s="3414"/>
      <c r="V5" s="3417"/>
      <c r="W5" s="3417"/>
      <c r="X5" s="1132"/>
      <c r="Y5" s="3413"/>
      <c r="Z5" s="3414"/>
      <c r="AA5" s="3399"/>
      <c r="AB5" s="3399"/>
      <c r="AC5" s="3399"/>
    </row>
    <row r="6" spans="1:29" ht="14.25" thickBot="1">
      <c r="A6" s="95"/>
      <c r="B6" s="96"/>
      <c r="C6" s="3422" t="s">
        <v>1037</v>
      </c>
      <c r="D6" s="3423"/>
      <c r="E6" s="3424" t="s">
        <v>1037</v>
      </c>
      <c r="F6" s="3425"/>
      <c r="G6" s="3422" t="s">
        <v>1037</v>
      </c>
      <c r="H6" s="3423"/>
      <c r="I6" s="3422" t="s">
        <v>1037</v>
      </c>
      <c r="J6" s="3423"/>
      <c r="K6" s="139" t="s">
        <v>1038</v>
      </c>
      <c r="L6" s="2162"/>
      <c r="M6" s="2163"/>
      <c r="N6" s="2163"/>
      <c r="O6" s="2163"/>
      <c r="P6" s="3409"/>
      <c r="Q6" s="3410"/>
      <c r="R6" s="3413"/>
      <c r="S6" s="3414"/>
      <c r="T6" s="3415"/>
      <c r="U6" s="3416"/>
      <c r="V6" s="3417"/>
      <c r="W6" s="3417"/>
      <c r="X6" s="1132"/>
      <c r="Y6" s="3415"/>
      <c r="Z6" s="3416"/>
      <c r="AA6" s="3400"/>
      <c r="AB6" s="3400"/>
      <c r="AC6" s="3400"/>
    </row>
    <row r="7" spans="1:29" s="11" customFormat="1" ht="15" thickBot="1">
      <c r="A7" s="872" t="s">
        <v>1039</v>
      </c>
      <c r="B7" s="873"/>
      <c r="C7" s="607">
        <f>'数据-取费表'!B2</f>
        <v>42998</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33" t="s">
        <v>1039</v>
      </c>
      <c r="Q7" s="3435"/>
      <c r="R7" s="1134" t="s">
        <v>61</v>
      </c>
      <c r="S7" s="1135">
        <f t="shared" ref="S7:S15" si="0">F7</f>
        <v>0</v>
      </c>
      <c r="T7" s="1134" t="s">
        <v>61</v>
      </c>
      <c r="U7" s="1135">
        <f t="shared" ref="U7:U15" si="1">H7</f>
        <v>0</v>
      </c>
      <c r="V7" s="1134" t="s">
        <v>61</v>
      </c>
      <c r="W7" s="1135">
        <f t="shared" ref="W7:W15" si="2">J7</f>
        <v>0</v>
      </c>
      <c r="X7" s="184"/>
      <c r="Y7" s="3433" t="s">
        <v>1039</v>
      </c>
      <c r="Z7" s="3434"/>
      <c r="AA7" s="1136" t="e">
        <f>D7/F7</f>
        <v>#DIV/0!</v>
      </c>
      <c r="AB7" s="1136" t="e">
        <f>D7/H7</f>
        <v>#DIV/0!</v>
      </c>
      <c r="AC7" s="1136" t="e">
        <f>D7/J7</f>
        <v>#DIV/0!</v>
      </c>
    </row>
    <row r="8" spans="1:29" s="11" customFormat="1" ht="15" thickBot="1">
      <c r="A8" s="872" t="s">
        <v>1040</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33" t="s">
        <v>937</v>
      </c>
      <c r="Q8" s="3434"/>
      <c r="R8" s="1134" t="s">
        <v>61</v>
      </c>
      <c r="S8" s="1135">
        <f t="shared" si="0"/>
        <v>100</v>
      </c>
      <c r="T8" s="1134" t="s">
        <v>61</v>
      </c>
      <c r="U8" s="1135">
        <f t="shared" si="1"/>
        <v>100</v>
      </c>
      <c r="V8" s="1134" t="s">
        <v>61</v>
      </c>
      <c r="W8" s="1135">
        <f t="shared" si="2"/>
        <v>100</v>
      </c>
      <c r="X8" s="184"/>
      <c r="Y8" s="3433" t="s">
        <v>937</v>
      </c>
      <c r="Z8" s="3434"/>
      <c r="AA8" s="1136">
        <f t="shared" ref="AA8:AA40" si="3">D8/F8</f>
        <v>1</v>
      </c>
      <c r="AB8" s="1136">
        <f t="shared" ref="AB8:AB40" si="4">D8/H8</f>
        <v>1</v>
      </c>
      <c r="AC8" s="1136">
        <f t="shared" ref="AC8:AC40" si="5">D8/J8</f>
        <v>1</v>
      </c>
    </row>
    <row r="9" spans="1:29" s="11" customFormat="1" ht="14.25">
      <c r="A9" s="879" t="s">
        <v>938</v>
      </c>
      <c r="B9" s="20" t="s">
        <v>939</v>
      </c>
      <c r="C9" s="1138"/>
      <c r="D9" s="234">
        <v>100</v>
      </c>
      <c r="E9" s="1140"/>
      <c r="F9" s="234">
        <f>SUMIF(57:57,E9,58:58)-SUMIF(57:57,C9,58:58)+100</f>
        <v>100</v>
      </c>
      <c r="G9" s="1139"/>
      <c r="H9" s="234">
        <f>SUMIF(57:57,G9,58:58)-SUMIF(57:57,C9,58:58)+100</f>
        <v>100</v>
      </c>
      <c r="I9" s="1139"/>
      <c r="J9" s="234">
        <f>SUMIF(57:57,I9,58:58)-SUMIF(57:57,C9,58:58)+100</f>
        <v>100</v>
      </c>
      <c r="K9" s="877"/>
      <c r="L9" s="2164"/>
      <c r="M9" s="2106"/>
      <c r="N9" s="2106"/>
      <c r="O9" s="2198"/>
      <c r="P9" s="3437"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SUMIF(59:59,E10,60:60)-SUMIF(59:59,C10,60:60)+100</f>
        <v>100</v>
      </c>
      <c r="G10" s="1142"/>
      <c r="H10" s="235">
        <f>SUMIF(59:59,G10,60:60)-SUMIF(59:59,C10,60:60)+100</f>
        <v>100</v>
      </c>
      <c r="I10" s="1141"/>
      <c r="J10" s="235">
        <f>SUMIF(59:59,I10,60:60)-SUMIF(59:59,C10,60:60)+100</f>
        <v>100</v>
      </c>
      <c r="K10" s="814"/>
      <c r="L10" s="2165"/>
      <c r="M10" s="2166"/>
      <c r="N10" s="2166"/>
      <c r="O10" s="2199"/>
      <c r="P10" s="3437"/>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37"/>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235">
        <f>SUMIF(64:64,E12,65:65)-SUMIF(64:64,C12,65:65)+100</f>
        <v>100</v>
      </c>
      <c r="G12" s="1203"/>
      <c r="H12" s="235">
        <f>SUMIF(64:64,G12,65:65)-SUMIF(64:64,C12,65:65)+100</f>
        <v>100</v>
      </c>
      <c r="I12" s="1151"/>
      <c r="J12" s="235">
        <f>SUMIF(64:64,I12,65:65)-SUMIF(64:64,C12,65:65)+100</f>
        <v>100</v>
      </c>
      <c r="K12" s="140"/>
      <c r="L12" s="2164"/>
      <c r="M12" s="2106"/>
      <c r="N12" s="2106"/>
      <c r="O12" s="2198"/>
      <c r="P12" s="3437"/>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235">
        <f>SUMIF(66:66,E13,67:67)-SUMIF(66:66,C13,67:67)+100</f>
        <v>100</v>
      </c>
      <c r="G13" s="1203"/>
      <c r="H13" s="633">
        <f>SUMIF(66:66,G13,67:67)-SUMIF(66:66,C13,67:67)+100</f>
        <v>100</v>
      </c>
      <c r="I13" s="1151"/>
      <c r="J13" s="633">
        <f>SUMIF(66:66,I13,67:67)-SUMIF(66:66,C13,67:67)+100</f>
        <v>100</v>
      </c>
      <c r="K13" s="140"/>
      <c r="L13" s="2168"/>
      <c r="M13" s="2163"/>
      <c r="N13" s="2163"/>
      <c r="O13" s="2200"/>
      <c r="P13" s="3437"/>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1"/>
      <c r="F14" s="635">
        <f>SUMIF(68:68,E14,69:69)-SUMIF(68:68,C14,69:69)+100</f>
        <v>100</v>
      </c>
      <c r="G14" s="1203"/>
      <c r="H14" s="635">
        <f>SUMIF(68:68,G14,69:69)-SUMIF(68:68,C14,69:69)+100</f>
        <v>100</v>
      </c>
      <c r="I14" s="1151"/>
      <c r="J14" s="635">
        <f>SUMIF(68:68,I14,69:69)-SUMIF(68:68,C14,69:69)+100</f>
        <v>100</v>
      </c>
      <c r="K14" s="140"/>
      <c r="L14" s="2168"/>
      <c r="M14" s="2163"/>
      <c r="N14" s="2163"/>
      <c r="O14" s="2200"/>
      <c r="P14" s="3437"/>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26" t="s">
        <v>65</v>
      </c>
      <c r="Q15" s="1144" t="str">
        <f t="shared" si="6"/>
        <v>产业集聚程度</v>
      </c>
      <c r="R15" s="1145" t="s">
        <v>61</v>
      </c>
      <c r="S15" s="1146">
        <f t="shared" si="0"/>
        <v>100</v>
      </c>
      <c r="T15" s="1145" t="s">
        <v>61</v>
      </c>
      <c r="U15" s="1146">
        <f t="shared" si="1"/>
        <v>100</v>
      </c>
      <c r="V15" s="1145" t="s">
        <v>61</v>
      </c>
      <c r="W15" s="1146">
        <f t="shared" si="2"/>
        <v>100</v>
      </c>
      <c r="X15" s="1132"/>
      <c r="Y15" s="3426" t="s">
        <v>65</v>
      </c>
      <c r="Z15" s="1147" t="str">
        <f t="shared" si="7"/>
        <v>产业集聚程度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200"/>
      <c r="P16" s="3427"/>
      <c r="Q16" s="1144"/>
      <c r="R16" s="1145"/>
      <c r="S16" s="1146"/>
      <c r="T16" s="1145"/>
      <c r="U16" s="1146"/>
      <c r="V16" s="1145"/>
      <c r="W16" s="1146"/>
      <c r="X16" s="1132"/>
      <c r="Y16" s="3427"/>
      <c r="Z16" s="1147"/>
      <c r="AA16" s="1148">
        <v>1</v>
      </c>
      <c r="AB16" s="1148">
        <v>1</v>
      </c>
      <c r="AC16" s="1148">
        <v>1</v>
      </c>
    </row>
    <row r="17" spans="1:29" ht="94.5">
      <c r="A17" s="98"/>
      <c r="B17" s="1149"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27"/>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200"/>
      <c r="P18" s="3427"/>
      <c r="Q18" s="1144"/>
      <c r="R18" s="1145"/>
      <c r="S18" s="1146"/>
      <c r="T18" s="1145"/>
      <c r="U18" s="1146"/>
      <c r="V18" s="1145"/>
      <c r="W18" s="1146"/>
      <c r="X18" s="1132"/>
      <c r="Y18" s="3427"/>
      <c r="Z18" s="1147"/>
      <c r="AA18" s="1148">
        <v>1</v>
      </c>
      <c r="AB18" s="1148">
        <v>1</v>
      </c>
      <c r="AC18" s="1148">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27"/>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3"/>
      <c r="C20" s="44"/>
      <c r="D20" s="645"/>
      <c r="E20" s="45"/>
      <c r="F20" s="647"/>
      <c r="G20" s="46"/>
      <c r="H20" s="645"/>
      <c r="I20" s="45"/>
      <c r="J20" s="645"/>
      <c r="K20" s="141"/>
      <c r="L20" s="2168"/>
      <c r="M20" s="2163"/>
      <c r="N20" s="2163"/>
      <c r="O20" s="2200"/>
      <c r="P20" s="3427"/>
      <c r="Q20" s="1144"/>
      <c r="R20" s="1145"/>
      <c r="S20" s="1146"/>
      <c r="T20" s="1145"/>
      <c r="U20" s="1146"/>
      <c r="V20" s="1145"/>
      <c r="W20" s="1146"/>
      <c r="X20" s="1132"/>
      <c r="Y20" s="3427"/>
      <c r="Z20" s="1147"/>
      <c r="AA20" s="1148">
        <v>1</v>
      </c>
      <c r="AB20" s="1148">
        <v>1</v>
      </c>
      <c r="AC20" s="1148">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27"/>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200"/>
      <c r="P22" s="3427"/>
      <c r="Q22" s="2548"/>
      <c r="R22" s="1145"/>
      <c r="S22" s="1146"/>
      <c r="T22" s="1145"/>
      <c r="U22" s="1146"/>
      <c r="V22" s="1145"/>
      <c r="W22" s="1146"/>
      <c r="X22" s="2546"/>
      <c r="Y22" s="3427"/>
      <c r="Z22" s="2547"/>
      <c r="AA22" s="1148">
        <v>1</v>
      </c>
      <c r="AB22" s="1148">
        <v>1</v>
      </c>
      <c r="AC22" s="1148">
        <v>1</v>
      </c>
    </row>
    <row r="23" spans="1:29" ht="81">
      <c r="A23" s="98"/>
      <c r="B23" s="1149"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27"/>
      <c r="Q23" s="1144" t="str">
        <f>B23</f>
        <v>环境质量</v>
      </c>
      <c r="R23" s="1145" t="s">
        <v>61</v>
      </c>
      <c r="S23" s="1146">
        <f>F23</f>
        <v>100</v>
      </c>
      <c r="T23" s="1145" t="s">
        <v>61</v>
      </c>
      <c r="U23" s="1146">
        <f>H23</f>
        <v>100</v>
      </c>
      <c r="V23" s="1145" t="s">
        <v>61</v>
      </c>
      <c r="W23" s="1146">
        <f>J23</f>
        <v>100</v>
      </c>
      <c r="X23" s="1132"/>
      <c r="Y23" s="3427"/>
      <c r="Z23" s="1147" t="str">
        <f>Q23</f>
        <v>环境质量</v>
      </c>
      <c r="AA23" s="1148">
        <f t="shared" si="3"/>
        <v>1</v>
      </c>
      <c r="AB23" s="1148">
        <f t="shared" si="4"/>
        <v>1</v>
      </c>
      <c r="AC23" s="1148">
        <f t="shared" si="5"/>
        <v>1</v>
      </c>
    </row>
    <row r="24" spans="1:29" ht="14.25">
      <c r="A24" s="98"/>
      <c r="B24" s="1204"/>
      <c r="C24" s="44"/>
      <c r="D24" s="645"/>
      <c r="E24" s="45"/>
      <c r="F24" s="647"/>
      <c r="G24" s="46"/>
      <c r="H24" s="645"/>
      <c r="I24" s="45"/>
      <c r="J24" s="645"/>
      <c r="K24" s="141"/>
      <c r="L24" s="2168"/>
      <c r="M24" s="2163"/>
      <c r="N24" s="2163"/>
      <c r="O24" s="2200"/>
      <c r="P24" s="3427"/>
      <c r="Q24" s="1144"/>
      <c r="R24" s="1145"/>
      <c r="S24" s="1146"/>
      <c r="T24" s="1145"/>
      <c r="U24" s="1146"/>
      <c r="V24" s="1145"/>
      <c r="W24" s="1146"/>
      <c r="X24" s="1132"/>
      <c r="Y24" s="3427"/>
      <c r="Z24" s="1147"/>
      <c r="AA24" s="1148">
        <v>1</v>
      </c>
      <c r="AB24" s="1148">
        <v>1</v>
      </c>
      <c r="AC24" s="1148">
        <v>1</v>
      </c>
    </row>
    <row r="25" spans="1:29" ht="14.25">
      <c r="A25" s="93"/>
      <c r="B25" s="1150">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27"/>
      <c r="Q25" s="1144">
        <f>B25</f>
        <v>111</v>
      </c>
      <c r="R25" s="1145" t="s">
        <v>61</v>
      </c>
      <c r="S25" s="1146">
        <f>F25</f>
        <v>100</v>
      </c>
      <c r="T25" s="1145" t="s">
        <v>61</v>
      </c>
      <c r="U25" s="1146">
        <f>H25</f>
        <v>100</v>
      </c>
      <c r="V25" s="1145" t="s">
        <v>61</v>
      </c>
      <c r="W25" s="1146">
        <f>J25</f>
        <v>100</v>
      </c>
      <c r="X25" s="1132"/>
      <c r="Y25" s="3427"/>
      <c r="Z25" s="1147">
        <f>Q25</f>
        <v>111</v>
      </c>
      <c r="AA25" s="1148">
        <f t="shared" si="3"/>
        <v>1</v>
      </c>
      <c r="AB25" s="1148">
        <f t="shared" si="4"/>
        <v>1</v>
      </c>
      <c r="AC25" s="1148">
        <f t="shared" si="5"/>
        <v>1</v>
      </c>
    </row>
    <row r="26" spans="1:29" ht="14.25">
      <c r="A26" s="98"/>
      <c r="B26" s="1150">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27"/>
      <c r="Q26" s="1144">
        <f t="shared" ref="Q26:Q40" si="11">B26</f>
        <v>111</v>
      </c>
      <c r="R26" s="1145" t="s">
        <v>61</v>
      </c>
      <c r="S26" s="1146">
        <f>F26</f>
        <v>100</v>
      </c>
      <c r="T26" s="1145" t="s">
        <v>61</v>
      </c>
      <c r="U26" s="1146">
        <f>H26</f>
        <v>100</v>
      </c>
      <c r="V26" s="1145" t="s">
        <v>61</v>
      </c>
      <c r="W26" s="1146">
        <f>J26</f>
        <v>100</v>
      </c>
      <c r="X26" s="1132"/>
      <c r="Y26" s="3427"/>
      <c r="Z26" s="1147">
        <f>Q26</f>
        <v>111</v>
      </c>
      <c r="AA26" s="1148">
        <f t="shared" si="3"/>
        <v>1</v>
      </c>
      <c r="AB26" s="1148">
        <f t="shared" si="4"/>
        <v>1</v>
      </c>
      <c r="AC26" s="1148">
        <f t="shared" si="5"/>
        <v>1</v>
      </c>
    </row>
    <row r="27" spans="1:29" s="11" customFormat="1" ht="14.25">
      <c r="A27" s="888"/>
      <c r="B27" s="1150">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27"/>
      <c r="Q27" s="2">
        <f t="shared" si="11"/>
        <v>111</v>
      </c>
      <c r="R27" s="1134" t="s">
        <v>61</v>
      </c>
      <c r="S27" s="1135">
        <f>F27</f>
        <v>100</v>
      </c>
      <c r="T27" s="1134" t="s">
        <v>61</v>
      </c>
      <c r="U27" s="1135">
        <f>H27</f>
        <v>100</v>
      </c>
      <c r="V27" s="1134" t="s">
        <v>61</v>
      </c>
      <c r="W27" s="1135">
        <f>J27</f>
        <v>100</v>
      </c>
      <c r="X27" s="184"/>
      <c r="Y27" s="3427"/>
      <c r="Z27" s="185">
        <f>Q27</f>
        <v>111</v>
      </c>
      <c r="AA27" s="1148">
        <f>D27/F27</f>
        <v>1</v>
      </c>
      <c r="AB27" s="1148">
        <f>D27/H27</f>
        <v>1</v>
      </c>
      <c r="AC27" s="1148">
        <f>D27/J27</f>
        <v>1</v>
      </c>
    </row>
    <row r="28" spans="1:29" ht="15" thickBot="1">
      <c r="A28" s="101"/>
      <c r="B28" s="1150">
        <v>111</v>
      </c>
      <c r="C28" s="41"/>
      <c r="D28" s="635">
        <v>100</v>
      </c>
      <c r="E28" s="40"/>
      <c r="F28" s="636">
        <f>SUMIF(86:86,E28,87:87)-SUMIF(86:86,C28,87:87)+100</f>
        <v>100</v>
      </c>
      <c r="G28" s="1151"/>
      <c r="H28" s="635">
        <f>SUMIF(86:86,G28,87:87)-SUMIF(86:86,C28,87:87)+100</f>
        <v>100</v>
      </c>
      <c r="I28" s="1151"/>
      <c r="J28" s="635">
        <f>SUMIF(86:86,I28,87:87)-SUMIF(86:86,C28,87:87)+100</f>
        <v>100</v>
      </c>
      <c r="K28" s="140"/>
      <c r="L28" s="2168"/>
      <c r="M28" s="2163"/>
      <c r="N28" s="2163"/>
      <c r="O28" s="2200"/>
      <c r="P28" s="3427"/>
      <c r="Q28" s="1144">
        <f t="shared" si="11"/>
        <v>111</v>
      </c>
      <c r="R28" s="1145" t="s">
        <v>61</v>
      </c>
      <c r="S28" s="1146">
        <f t="shared" ref="S28:S40" si="12">F28</f>
        <v>100</v>
      </c>
      <c r="T28" s="1145" t="s">
        <v>61</v>
      </c>
      <c r="U28" s="1146">
        <f t="shared" ref="U28:U40" si="13">H28</f>
        <v>100</v>
      </c>
      <c r="V28" s="1145" t="s">
        <v>61</v>
      </c>
      <c r="W28" s="1146">
        <f t="shared" ref="W28:W40" si="14">J28</f>
        <v>100</v>
      </c>
      <c r="X28" s="1132"/>
      <c r="Y28" s="3427"/>
      <c r="Z28" s="1147">
        <f t="shared" ref="Z28:Z40" si="15">Q28</f>
        <v>111</v>
      </c>
      <c r="AA28" s="1148">
        <f t="shared" si="3"/>
        <v>1</v>
      </c>
      <c r="AB28" s="1148">
        <f t="shared" si="4"/>
        <v>1</v>
      </c>
      <c r="AC28" s="1148">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53" t="s">
        <v>1041</v>
      </c>
      <c r="Q29" s="1144" t="str">
        <f t="shared" si="11"/>
        <v>建筑类型</v>
      </c>
      <c r="R29" s="1145" t="s">
        <v>61</v>
      </c>
      <c r="S29" s="1146">
        <f t="shared" si="12"/>
        <v>100</v>
      </c>
      <c r="T29" s="1145" t="s">
        <v>61</v>
      </c>
      <c r="U29" s="1146">
        <f t="shared" si="13"/>
        <v>100</v>
      </c>
      <c r="V29" s="1145" t="s">
        <v>61</v>
      </c>
      <c r="W29" s="1146">
        <f t="shared" si="14"/>
        <v>100</v>
      </c>
      <c r="X29" s="1132"/>
      <c r="Y29" s="3431" t="s">
        <v>1041</v>
      </c>
      <c r="Z29" s="1147" t="str">
        <f t="shared" si="15"/>
        <v>建筑类型</v>
      </c>
      <c r="AA29" s="1148">
        <f t="shared" si="3"/>
        <v>1</v>
      </c>
      <c r="AB29" s="1148">
        <f t="shared" si="4"/>
        <v>1</v>
      </c>
      <c r="AC29" s="1148">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31"/>
      <c r="Q30" s="1152" t="str">
        <f t="shared" si="11"/>
        <v>项目建筑规模</v>
      </c>
      <c r="R30" s="1153" t="s">
        <v>61</v>
      </c>
      <c r="S30" s="1154" t="e">
        <f t="shared" si="12"/>
        <v>#N/A</v>
      </c>
      <c r="T30" s="1153" t="s">
        <v>61</v>
      </c>
      <c r="U30" s="1154" t="e">
        <f t="shared" si="13"/>
        <v>#N/A</v>
      </c>
      <c r="V30" s="1153" t="s">
        <v>61</v>
      </c>
      <c r="W30" s="1154" t="e">
        <f t="shared" si="14"/>
        <v>#N/A</v>
      </c>
      <c r="X30" s="1155"/>
      <c r="Y30" s="3431"/>
      <c r="Z30" s="1156" t="str">
        <f t="shared" si="15"/>
        <v>项目建筑规模</v>
      </c>
      <c r="AA30" s="1148" t="e">
        <f t="shared" si="3"/>
        <v>#N/A</v>
      </c>
      <c r="AB30" s="1148" t="e">
        <f t="shared" si="4"/>
        <v>#N/A</v>
      </c>
      <c r="AC30" s="1148"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31"/>
      <c r="Q31" s="1144" t="str">
        <f t="shared" si="11"/>
        <v>建筑结构</v>
      </c>
      <c r="R31" s="1145" t="s">
        <v>61</v>
      </c>
      <c r="S31" s="1146">
        <f t="shared" si="12"/>
        <v>100</v>
      </c>
      <c r="T31" s="1145" t="s">
        <v>61</v>
      </c>
      <c r="U31" s="1146">
        <f t="shared" si="13"/>
        <v>100</v>
      </c>
      <c r="V31" s="1145" t="s">
        <v>61</v>
      </c>
      <c r="W31" s="1146">
        <f t="shared" si="14"/>
        <v>100</v>
      </c>
      <c r="X31" s="1132"/>
      <c r="Y31" s="3431"/>
      <c r="Z31" s="1147" t="str">
        <f t="shared" si="15"/>
        <v>建筑结构</v>
      </c>
      <c r="AA31" s="1148">
        <f t="shared" si="3"/>
        <v>1</v>
      </c>
      <c r="AB31" s="1148">
        <f t="shared" si="4"/>
        <v>1</v>
      </c>
      <c r="AC31" s="1148">
        <f t="shared" si="5"/>
        <v>1</v>
      </c>
    </row>
    <row r="32" spans="1:29" ht="15">
      <c r="A32" s="111"/>
      <c r="B32" s="4" t="s">
        <v>945</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31"/>
      <c r="Q32" s="1144" t="str">
        <f t="shared" si="11"/>
        <v>公共部分装修</v>
      </c>
      <c r="R32" s="1145" t="s">
        <v>61</v>
      </c>
      <c r="S32" s="1146">
        <f t="shared" si="12"/>
        <v>100</v>
      </c>
      <c r="T32" s="1145" t="s">
        <v>61</v>
      </c>
      <c r="U32" s="1146">
        <f t="shared" si="13"/>
        <v>100</v>
      </c>
      <c r="V32" s="1145" t="s">
        <v>61</v>
      </c>
      <c r="W32" s="1146">
        <f t="shared" si="14"/>
        <v>100</v>
      </c>
      <c r="X32" s="1132"/>
      <c r="Y32" s="3431"/>
      <c r="Z32" s="1147" t="str">
        <f t="shared" si="15"/>
        <v>公共部分装修</v>
      </c>
      <c r="AA32" s="1148">
        <f t="shared" si="3"/>
        <v>1</v>
      </c>
      <c r="AB32" s="1148">
        <f t="shared" si="4"/>
        <v>1</v>
      </c>
      <c r="AC32" s="1148">
        <f t="shared" si="5"/>
        <v>1</v>
      </c>
    </row>
    <row r="33" spans="1:29" ht="15">
      <c r="A33" s="111"/>
      <c r="B33" s="4" t="s">
        <v>946</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31"/>
      <c r="Q33" s="1144" t="str">
        <f t="shared" si="11"/>
        <v>成新度</v>
      </c>
      <c r="R33" s="1145" t="s">
        <v>61</v>
      </c>
      <c r="S33" s="1146" t="e">
        <f t="shared" si="12"/>
        <v>#N/A</v>
      </c>
      <c r="T33" s="1145" t="s">
        <v>61</v>
      </c>
      <c r="U33" s="1146" t="e">
        <f t="shared" si="13"/>
        <v>#N/A</v>
      </c>
      <c r="V33" s="1145" t="s">
        <v>61</v>
      </c>
      <c r="W33" s="1146" t="e">
        <f t="shared" si="14"/>
        <v>#N/A</v>
      </c>
      <c r="X33" s="1132"/>
      <c r="Y33" s="3431"/>
      <c r="Z33" s="1147" t="str">
        <f t="shared" si="15"/>
        <v>成新度</v>
      </c>
      <c r="AA33" s="1148" t="e">
        <f t="shared" si="3"/>
        <v>#N/A</v>
      </c>
      <c r="AB33" s="1148" t="e">
        <f t="shared" si="4"/>
        <v>#N/A</v>
      </c>
      <c r="AC33" s="1148" t="e">
        <f t="shared" si="5"/>
        <v>#N/A</v>
      </c>
    </row>
    <row r="34" spans="1:29" s="11" customFormat="1" ht="15">
      <c r="A34" s="900"/>
      <c r="B34" s="4" t="s">
        <v>1042</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31"/>
      <c r="Q34" s="2" t="str">
        <f t="shared" si="11"/>
        <v>物业管理</v>
      </c>
      <c r="R34" s="1134" t="s">
        <v>61</v>
      </c>
      <c r="S34" s="1135">
        <f t="shared" si="12"/>
        <v>100</v>
      </c>
      <c r="T34" s="1134" t="s">
        <v>61</v>
      </c>
      <c r="U34" s="1135">
        <f t="shared" si="13"/>
        <v>100</v>
      </c>
      <c r="V34" s="1134" t="s">
        <v>61</v>
      </c>
      <c r="W34" s="1135">
        <f t="shared" si="14"/>
        <v>100</v>
      </c>
      <c r="X34" s="184"/>
      <c r="Y34" s="3431"/>
      <c r="Z34" s="185" t="str">
        <f t="shared" si="15"/>
        <v>物业管理</v>
      </c>
      <c r="AA34" s="1136">
        <f t="shared" si="3"/>
        <v>1</v>
      </c>
      <c r="AB34" s="1136">
        <f t="shared" si="4"/>
        <v>1</v>
      </c>
      <c r="AC34" s="1136">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31" t="s">
        <v>66</v>
      </c>
      <c r="Q35" s="1144" t="str">
        <f t="shared" si="11"/>
        <v>市政基础设施</v>
      </c>
      <c r="R35" s="1145" t="s">
        <v>61</v>
      </c>
      <c r="S35" s="1146">
        <f t="shared" si="12"/>
        <v>100</v>
      </c>
      <c r="T35" s="1145" t="s">
        <v>61</v>
      </c>
      <c r="U35" s="1146">
        <f t="shared" si="13"/>
        <v>100</v>
      </c>
      <c r="V35" s="1145" t="s">
        <v>61</v>
      </c>
      <c r="W35" s="1146">
        <f t="shared" si="14"/>
        <v>100</v>
      </c>
      <c r="X35" s="1132"/>
      <c r="Y35" s="3431" t="s">
        <v>66</v>
      </c>
      <c r="Z35" s="1147" t="str">
        <f t="shared" si="15"/>
        <v>市政基础设施</v>
      </c>
      <c r="AA35" s="1148">
        <f t="shared" si="3"/>
        <v>1</v>
      </c>
      <c r="AB35" s="1148">
        <f t="shared" si="4"/>
        <v>1</v>
      </c>
      <c r="AC35" s="1148">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31"/>
      <c r="Q36" s="1144" t="str">
        <f t="shared" si="11"/>
        <v>内部装修</v>
      </c>
      <c r="R36" s="1145" t="s">
        <v>61</v>
      </c>
      <c r="S36" s="1146">
        <f t="shared" si="12"/>
        <v>100</v>
      </c>
      <c r="T36" s="1145" t="s">
        <v>61</v>
      </c>
      <c r="U36" s="1146">
        <f t="shared" si="13"/>
        <v>100</v>
      </c>
      <c r="V36" s="1145" t="s">
        <v>61</v>
      </c>
      <c r="W36" s="1146">
        <f t="shared" si="14"/>
        <v>100</v>
      </c>
      <c r="X36" s="1132"/>
      <c r="Y36" s="3431"/>
      <c r="Z36" s="1147" t="str">
        <f t="shared" si="15"/>
        <v>内部装修</v>
      </c>
      <c r="AA36" s="1148">
        <f t="shared" si="3"/>
        <v>1</v>
      </c>
      <c r="AB36" s="1148">
        <f t="shared" si="4"/>
        <v>1</v>
      </c>
      <c r="AC36" s="1148">
        <f t="shared" si="5"/>
        <v>1</v>
      </c>
    </row>
    <row r="37" spans="1:29" ht="15">
      <c r="A37" s="111"/>
      <c r="B37" s="4" t="s">
        <v>1043</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31"/>
      <c r="Q37" s="1144" t="str">
        <f t="shared" si="11"/>
        <v>内部装修状况</v>
      </c>
      <c r="R37" s="1145" t="s">
        <v>61</v>
      </c>
      <c r="S37" s="1146">
        <f t="shared" si="12"/>
        <v>0</v>
      </c>
      <c r="T37" s="1145" t="s">
        <v>61</v>
      </c>
      <c r="U37" s="1146">
        <f t="shared" si="13"/>
        <v>0</v>
      </c>
      <c r="V37" s="1145" t="s">
        <v>61</v>
      </c>
      <c r="W37" s="1146">
        <f t="shared" si="14"/>
        <v>0</v>
      </c>
      <c r="X37" s="1132"/>
      <c r="Y37" s="3431"/>
      <c r="Z37" s="1147" t="str">
        <f t="shared" si="15"/>
        <v>内部装修状况</v>
      </c>
      <c r="AA37" s="1148" t="e">
        <f t="shared" si="3"/>
        <v>#DIV/0!</v>
      </c>
      <c r="AB37" s="1148" t="e">
        <f t="shared" si="4"/>
        <v>#DIV/0!</v>
      </c>
      <c r="AC37" s="1148" t="e">
        <f t="shared" si="5"/>
        <v>#DIV/0!</v>
      </c>
    </row>
    <row r="38" spans="1:29" s="898" customFormat="1" ht="14.25">
      <c r="A38" s="902"/>
      <c r="B38" s="1150">
        <v>111</v>
      </c>
      <c r="C38" s="1151">
        <v>111</v>
      </c>
      <c r="D38" s="633">
        <v>100</v>
      </c>
      <c r="E38" s="40"/>
      <c r="F38" s="660">
        <f>SUMIF(108:108,E38,109:109)-SUMIF(108:108,C38,109:109)+100</f>
        <v>100</v>
      </c>
      <c r="G38" s="1151"/>
      <c r="H38" s="633">
        <f>SUMIF(108:108,G38,109:109)-SUMIF(108:108,C38,109:109)+100</f>
        <v>100</v>
      </c>
      <c r="I38" s="1151"/>
      <c r="J38" s="633">
        <f>SUMIF(108:108,I38,109:1038)-SUMIF(108:108,C38,109:109)+100</f>
        <v>100</v>
      </c>
      <c r="K38" s="140"/>
      <c r="L38" s="2167"/>
      <c r="M38" s="2169"/>
      <c r="N38" s="2169"/>
      <c r="O38" s="2201"/>
      <c r="P38" s="3431"/>
      <c r="Q38" s="1152">
        <f t="shared" si="11"/>
        <v>111</v>
      </c>
      <c r="R38" s="1153" t="s">
        <v>61</v>
      </c>
      <c r="S38" s="1154">
        <f t="shared" si="12"/>
        <v>100</v>
      </c>
      <c r="T38" s="1153" t="s">
        <v>61</v>
      </c>
      <c r="U38" s="1154">
        <f t="shared" si="13"/>
        <v>100</v>
      </c>
      <c r="V38" s="1153" t="s">
        <v>61</v>
      </c>
      <c r="W38" s="1154">
        <f t="shared" si="14"/>
        <v>100</v>
      </c>
      <c r="X38" s="1155"/>
      <c r="Y38" s="3431"/>
      <c r="Z38" s="1156">
        <f t="shared" si="15"/>
        <v>111</v>
      </c>
      <c r="AA38" s="1148">
        <f t="shared" si="3"/>
        <v>1</v>
      </c>
      <c r="AB38" s="1148">
        <f t="shared" si="4"/>
        <v>1</v>
      </c>
      <c r="AC38" s="1148">
        <f t="shared" si="5"/>
        <v>1</v>
      </c>
    </row>
    <row r="39" spans="1:29" ht="14.25">
      <c r="A39" s="111"/>
      <c r="B39" s="1150">
        <v>111</v>
      </c>
      <c r="C39" s="1151">
        <v>111</v>
      </c>
      <c r="D39" s="633">
        <v>100</v>
      </c>
      <c r="E39" s="40"/>
      <c r="F39" s="660">
        <f>SUMIF(110:110,E39,111:111)-SUMIF(110:110,C39,111:111)+100</f>
        <v>100</v>
      </c>
      <c r="G39" s="1151"/>
      <c r="H39" s="633">
        <f>SUMIF(110:110,G39,111:111)-SUMIF(110:110,C39,111:111)+100</f>
        <v>100</v>
      </c>
      <c r="I39" s="1151"/>
      <c r="J39" s="633">
        <f>SUMIF(110:110,I39,111:111)-SUMIF(110:110,C39,111:111)+100</f>
        <v>100</v>
      </c>
      <c r="K39" s="140"/>
      <c r="L39" s="2168"/>
      <c r="M39" s="2163"/>
      <c r="N39" s="2163"/>
      <c r="O39" s="2200"/>
      <c r="P39" s="3431"/>
      <c r="Q39" s="1144">
        <f t="shared" si="11"/>
        <v>111</v>
      </c>
      <c r="R39" s="1145" t="s">
        <v>61</v>
      </c>
      <c r="S39" s="1146">
        <f t="shared" si="12"/>
        <v>100</v>
      </c>
      <c r="T39" s="1145" t="s">
        <v>61</v>
      </c>
      <c r="U39" s="1146">
        <f t="shared" si="13"/>
        <v>100</v>
      </c>
      <c r="V39" s="1145" t="s">
        <v>61</v>
      </c>
      <c r="W39" s="1146">
        <f t="shared" si="14"/>
        <v>100</v>
      </c>
      <c r="X39" s="1132"/>
      <c r="Y39" s="3431"/>
      <c r="Z39" s="1147">
        <f t="shared" si="15"/>
        <v>111</v>
      </c>
      <c r="AA39" s="1148">
        <f t="shared" si="3"/>
        <v>1</v>
      </c>
      <c r="AB39" s="1148">
        <f t="shared" si="4"/>
        <v>1</v>
      </c>
      <c r="AC39" s="1148">
        <f t="shared" si="5"/>
        <v>1</v>
      </c>
    </row>
    <row r="40" spans="1:29" ht="15" thickBot="1">
      <c r="A40" s="112"/>
      <c r="B40" s="890">
        <v>111</v>
      </c>
      <c r="C40" s="41">
        <v>111</v>
      </c>
      <c r="D40" s="635">
        <v>100</v>
      </c>
      <c r="E40" s="40"/>
      <c r="F40" s="636">
        <f>SUMIF(112:112,E40,113:113)-SUMIF(112:112,C40,113:113)+100</f>
        <v>100</v>
      </c>
      <c r="G40" s="1151"/>
      <c r="H40" s="635">
        <f>SUMIF(112:112,G40,113:113)-SUMIF(112:112,C40,113:113)+100</f>
        <v>100</v>
      </c>
      <c r="I40" s="1151"/>
      <c r="J40" s="635">
        <f>SUMIF(112:112,I40,113:113)-SUMIF(112:112,C40,113:113)+100</f>
        <v>100</v>
      </c>
      <c r="K40" s="140"/>
      <c r="L40" s="2168"/>
      <c r="M40" s="2163"/>
      <c r="N40" s="2163"/>
      <c r="O40" s="2200"/>
      <c r="P40" s="3432"/>
      <c r="Q40" s="1144">
        <f t="shared" si="11"/>
        <v>111</v>
      </c>
      <c r="R40" s="1145" t="s">
        <v>61</v>
      </c>
      <c r="S40" s="1146">
        <f t="shared" si="12"/>
        <v>100</v>
      </c>
      <c r="T40" s="1145" t="s">
        <v>61</v>
      </c>
      <c r="U40" s="1146">
        <f t="shared" si="13"/>
        <v>100</v>
      </c>
      <c r="V40" s="1145" t="s">
        <v>61</v>
      </c>
      <c r="W40" s="1146">
        <f t="shared" si="14"/>
        <v>100</v>
      </c>
      <c r="X40" s="1132"/>
      <c r="Y40" s="3432"/>
      <c r="Z40" s="1147">
        <f t="shared" si="15"/>
        <v>111</v>
      </c>
      <c r="AA40" s="1148">
        <f t="shared" si="3"/>
        <v>1</v>
      </c>
      <c r="AB40" s="1148">
        <f t="shared" si="4"/>
        <v>1</v>
      </c>
      <c r="AC40" s="1148">
        <f t="shared" si="5"/>
        <v>1</v>
      </c>
    </row>
    <row r="41" spans="1:29" ht="15">
      <c r="A41" s="113" t="s">
        <v>97</v>
      </c>
      <c r="B41" s="114"/>
      <c r="C41" s="2608" t="s">
        <v>20</v>
      </c>
      <c r="D41" s="2609"/>
      <c r="E41" s="2610"/>
      <c r="F41" s="2611"/>
      <c r="G41" s="2612"/>
      <c r="H41" s="2613"/>
      <c r="I41" s="2610"/>
      <c r="J41" s="2613"/>
      <c r="K41" s="1187"/>
      <c r="L41" s="2170"/>
      <c r="M41" s="2171"/>
      <c r="N41" s="2163"/>
      <c r="O41" s="2171"/>
      <c r="P41" s="3437" t="str">
        <f>A41</f>
        <v>成交单价（元/平方米）</v>
      </c>
      <c r="Q41" s="3437"/>
      <c r="R41" s="3438">
        <f>E41</f>
        <v>0</v>
      </c>
      <c r="S41" s="3438"/>
      <c r="T41" s="3438">
        <f>G41</f>
        <v>0</v>
      </c>
      <c r="U41" s="3438"/>
      <c r="V41" s="3438">
        <f>I41</f>
        <v>0</v>
      </c>
      <c r="W41" s="3438"/>
      <c r="X41" s="1158"/>
      <c r="Y41" s="1159"/>
      <c r="Z41" s="1158"/>
      <c r="AA41" s="1158"/>
      <c r="AB41" s="1158"/>
      <c r="AC41" s="1158"/>
    </row>
    <row r="42" spans="1:29" ht="15.75" thickBot="1">
      <c r="A42" s="115" t="s">
        <v>95</v>
      </c>
      <c r="B42" s="116"/>
      <c r="C42" s="2614" t="e">
        <f>R43</f>
        <v>#DIV/0!</v>
      </c>
      <c r="D42" s="2615"/>
      <c r="E42" s="2616" t="e">
        <f>R42</f>
        <v>#DIV/0!</v>
      </c>
      <c r="F42" s="2616"/>
      <c r="G42" s="2614" t="e">
        <f>T42</f>
        <v>#DIV/0!</v>
      </c>
      <c r="H42" s="2615"/>
      <c r="I42" s="2616" t="e">
        <f>V42</f>
        <v>#DIV/0!</v>
      </c>
      <c r="J42" s="2615"/>
      <c r="K42" s="1188"/>
      <c r="L42" s="2170"/>
      <c r="M42" s="2171"/>
      <c r="N42" s="2163"/>
      <c r="O42" s="2171"/>
      <c r="P42" s="3437" t="str">
        <f>A42</f>
        <v>比较价值（元/平方米）</v>
      </c>
      <c r="Q42" s="3437"/>
      <c r="R42" s="3438" t="e">
        <f>IF(E1="售价",ROUND(PRODUCT(R41,AA7:AA40),0),ROUND(PRODUCT(R41,AA7:AA40),1))</f>
        <v>#DIV/0!</v>
      </c>
      <c r="S42" s="3438"/>
      <c r="T42" s="3438" t="e">
        <f>IF(E1="售价",ROUND(PRODUCT(T41,AB7:AB40),0),ROUND(PRODUCT(T41,AB7:AB40),1))</f>
        <v>#DIV/0!</v>
      </c>
      <c r="U42" s="3438"/>
      <c r="V42" s="3438" t="e">
        <f>IF(E1="售价",ROUND(PRODUCT(V41,AC7:AC40),0),ROUND(PRODUCT(V41,AC7:AC40),1))</f>
        <v>#DIV/0!</v>
      </c>
      <c r="W42" s="3438"/>
      <c r="X42" s="1158"/>
      <c r="Y42" s="1158"/>
      <c r="Z42" s="1158"/>
      <c r="AA42" s="1158"/>
      <c r="AB42" s="1158"/>
      <c r="AC42" s="1158"/>
    </row>
    <row r="43" spans="1:29" ht="15.75" thickBot="1">
      <c r="A43" s="62" t="s">
        <v>2887</v>
      </c>
      <c r="B43" s="63"/>
      <c r="C43" s="2618" t="e">
        <f>R43</f>
        <v>#DIV/0!</v>
      </c>
      <c r="D43" s="2618"/>
      <c r="E43" s="2618"/>
      <c r="F43" s="2618"/>
      <c r="G43" s="2618"/>
      <c r="H43" s="2618"/>
      <c r="I43" s="2618"/>
      <c r="J43" s="2618"/>
      <c r="K43" s="1189"/>
      <c r="L43" s="2170"/>
      <c r="M43" s="2171"/>
      <c r="N43" s="2171"/>
      <c r="O43" s="2171"/>
      <c r="P43" s="3443" t="str">
        <f>A43</f>
        <v>估价对象XX用房的比较价值（楼面单价，元/平方米）</v>
      </c>
      <c r="Q43" s="3444"/>
      <c r="R43" s="3445" t="e">
        <f>IF(E1="售价",ROUND(AVERAGE(R42:V42),0),ROUND(AVERAGE(R42:V42),1))</f>
        <v>#DIV/0!</v>
      </c>
      <c r="S43" s="3445"/>
      <c r="T43" s="3445"/>
      <c r="U43" s="3445"/>
      <c r="V43" s="3445"/>
      <c r="W43" s="3445"/>
      <c r="X43" s="1158"/>
      <c r="Y43" s="1158"/>
      <c r="Z43" s="1158"/>
      <c r="AA43" s="1158"/>
      <c r="AB43" s="1158"/>
      <c r="AC43" s="1158"/>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919</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920</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921</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4" t="s">
        <v>129</v>
      </c>
      <c r="B51" s="1158"/>
      <c r="C51" s="1165"/>
      <c r="D51" s="1165"/>
      <c r="E51" s="1165"/>
      <c r="F51" s="1166"/>
      <c r="G51" s="1166"/>
      <c r="H51" s="1165"/>
      <c r="I51" s="1165"/>
      <c r="J51" s="1165"/>
      <c r="K51" s="1167"/>
      <c r="L51" s="1168"/>
      <c r="M51" s="1165"/>
      <c r="N51" s="1165"/>
      <c r="O51" s="1165"/>
      <c r="P51" s="67"/>
      <c r="Q51" s="68"/>
    </row>
    <row r="52" spans="1:17" s="707" customFormat="1" ht="15">
      <c r="A52" s="704" t="s">
        <v>2663</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2"/>
      <c r="O55" s="1182"/>
      <c r="P55" s="915"/>
      <c r="Q55" s="68"/>
    </row>
    <row r="56" spans="1:17" s="11" customFormat="1" ht="15" thickBot="1">
      <c r="A56" s="912"/>
      <c r="B56" s="909"/>
      <c r="C56" s="841">
        <v>100</v>
      </c>
      <c r="D56" s="711"/>
      <c r="E56" s="711"/>
      <c r="F56" s="711"/>
      <c r="G56" s="711"/>
      <c r="H56" s="711"/>
      <c r="I56" s="711"/>
      <c r="J56" s="711"/>
      <c r="K56" s="711"/>
      <c r="L56" s="711"/>
      <c r="M56" s="713"/>
      <c r="N56" s="1182"/>
      <c r="O56" s="1182"/>
      <c r="P56" s="68"/>
      <c r="Q56" s="68"/>
    </row>
    <row r="57" spans="1:17">
      <c r="A57" s="124" t="s">
        <v>63</v>
      </c>
      <c r="B57" s="183" t="s">
        <v>64</v>
      </c>
      <c r="C57" s="128">
        <f>C9</f>
        <v>0</v>
      </c>
      <c r="D57" s="69"/>
      <c r="E57" s="69"/>
      <c r="F57" s="69"/>
      <c r="G57" s="69"/>
      <c r="H57" s="69"/>
      <c r="I57" s="69"/>
      <c r="J57" s="69"/>
      <c r="K57" s="70"/>
      <c r="L57" s="71"/>
      <c r="M57" s="72"/>
      <c r="N57" s="1183"/>
      <c r="O57" s="1183"/>
      <c r="P57" s="1"/>
      <c r="Q57" s="68"/>
    </row>
    <row r="58" spans="1:17" ht="15" thickBot="1">
      <c r="A58" s="125"/>
      <c r="B58" s="916"/>
      <c r="C58" s="736">
        <v>100</v>
      </c>
      <c r="D58" s="736"/>
      <c r="E58" s="736"/>
      <c r="F58" s="736"/>
      <c r="G58" s="736"/>
      <c r="H58" s="736"/>
      <c r="I58" s="736"/>
      <c r="J58" s="736"/>
      <c r="K58" s="736"/>
      <c r="L58" s="736"/>
      <c r="M58" s="737"/>
      <c r="N58" s="1184"/>
      <c r="O58" s="1184"/>
      <c r="P58" s="1"/>
      <c r="Q58" s="68"/>
    </row>
    <row r="59" spans="1:17" ht="27.75" thickTop="1">
      <c r="A59" s="125"/>
      <c r="B59" s="917" t="s">
        <v>104</v>
      </c>
      <c r="C59" s="740" t="s">
        <v>925</v>
      </c>
      <c r="D59" s="740" t="s">
        <v>926</v>
      </c>
      <c r="E59" s="740" t="s">
        <v>927</v>
      </c>
      <c r="F59" s="740" t="s">
        <v>928</v>
      </c>
      <c r="G59" s="740" t="s">
        <v>929</v>
      </c>
      <c r="H59" s="740" t="s">
        <v>930</v>
      </c>
      <c r="I59" s="740" t="s">
        <v>931</v>
      </c>
      <c r="J59" s="740"/>
      <c r="K59" s="741"/>
      <c r="L59" s="742"/>
      <c r="M59" s="743"/>
      <c r="N59" s="1183"/>
      <c r="O59" s="1183"/>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4"/>
      <c r="O60" s="1184"/>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4"/>
      <c r="O61" s="1184"/>
      <c r="P61" s="1"/>
      <c r="Q61" s="68"/>
    </row>
    <row r="62" spans="1:17" ht="14.25">
      <c r="A62" s="125"/>
      <c r="B62" s="920"/>
      <c r="C62" s="750"/>
      <c r="D62" s="750"/>
      <c r="E62" s="750"/>
      <c r="F62" s="750"/>
      <c r="G62" s="750"/>
      <c r="H62" s="750"/>
      <c r="I62" s="750"/>
      <c r="J62" s="750"/>
      <c r="K62" s="751"/>
      <c r="L62" s="752"/>
      <c r="M62" s="753"/>
      <c r="N62" s="1183"/>
      <c r="O62" s="1183"/>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4"/>
      <c r="O63" s="1184"/>
      <c r="P63" s="1"/>
      <c r="Q63" s="68"/>
    </row>
    <row r="64" spans="1:17" s="898" customFormat="1" ht="14.25" thickTop="1">
      <c r="A64" s="921"/>
      <c r="B64" s="917">
        <f>B12</f>
        <v>111</v>
      </c>
      <c r="C64" s="86"/>
      <c r="D64" s="86"/>
      <c r="E64" s="86"/>
      <c r="F64" s="86"/>
      <c r="G64" s="86"/>
      <c r="H64" s="922"/>
      <c r="I64" s="922"/>
      <c r="J64" s="922"/>
      <c r="K64" s="922"/>
      <c r="L64" s="923"/>
      <c r="M64" s="924"/>
      <c r="N64" s="1185"/>
      <c r="O64" s="1185"/>
      <c r="P64" s="925"/>
      <c r="Q64" s="926"/>
    </row>
    <row r="65" spans="1:17" s="898" customFormat="1" ht="15" thickBot="1">
      <c r="A65" s="921"/>
      <c r="B65" s="918"/>
      <c r="C65" s="762"/>
      <c r="D65" s="736"/>
      <c r="E65" s="736"/>
      <c r="F65" s="736"/>
      <c r="G65" s="736"/>
      <c r="H65" s="736"/>
      <c r="I65" s="736"/>
      <c r="J65" s="736"/>
      <c r="K65" s="736"/>
      <c r="L65" s="736"/>
      <c r="M65" s="737"/>
      <c r="N65" s="1184"/>
      <c r="O65" s="1184"/>
      <c r="P65" s="925"/>
      <c r="Q65" s="926"/>
    </row>
    <row r="66" spans="1:17" s="898" customFormat="1" ht="14.25" thickTop="1">
      <c r="A66" s="921"/>
      <c r="B66" s="917">
        <f>B13</f>
        <v>111</v>
      </c>
      <c r="C66" s="86"/>
      <c r="D66" s="86"/>
      <c r="E66" s="86"/>
      <c r="F66" s="86"/>
      <c r="G66" s="86"/>
      <c r="H66" s="922"/>
      <c r="I66" s="922"/>
      <c r="J66" s="922"/>
      <c r="K66" s="922"/>
      <c r="L66" s="923"/>
      <c r="M66" s="924"/>
      <c r="N66" s="1185"/>
      <c r="O66" s="1185"/>
      <c r="P66" s="927"/>
      <c r="Q66" s="928"/>
    </row>
    <row r="67" spans="1:17" s="898" customFormat="1" ht="15" thickBot="1">
      <c r="A67" s="921"/>
      <c r="B67" s="918"/>
      <c r="C67" s="762"/>
      <c r="D67" s="736"/>
      <c r="E67" s="736"/>
      <c r="F67" s="736"/>
      <c r="G67" s="762"/>
      <c r="H67" s="764"/>
      <c r="I67" s="764"/>
      <c r="J67" s="764"/>
      <c r="K67" s="764"/>
      <c r="L67" s="764"/>
      <c r="M67" s="765"/>
      <c r="N67" s="1185"/>
      <c r="O67" s="1185"/>
      <c r="P67" s="925"/>
      <c r="Q67" s="926"/>
    </row>
    <row r="68" spans="1:17" s="898" customFormat="1" ht="14.25" thickTop="1">
      <c r="A68" s="921"/>
      <c r="B68" s="919">
        <f>B14</f>
        <v>111</v>
      </c>
      <c r="C68" s="87"/>
      <c r="D68" s="87"/>
      <c r="E68" s="87"/>
      <c r="F68" s="87"/>
      <c r="G68" s="87"/>
      <c r="H68" s="929"/>
      <c r="I68" s="929"/>
      <c r="J68" s="929"/>
      <c r="K68" s="929"/>
      <c r="L68" s="930"/>
      <c r="M68" s="931"/>
      <c r="N68" s="1185"/>
      <c r="O68" s="1185"/>
      <c r="P68" s="932"/>
      <c r="Q68" s="926"/>
    </row>
    <row r="69" spans="1:17" s="898" customFormat="1" ht="15" thickBot="1">
      <c r="A69" s="933"/>
      <c r="B69" s="934"/>
      <c r="C69" s="772"/>
      <c r="D69" s="772"/>
      <c r="E69" s="772"/>
      <c r="F69" s="772"/>
      <c r="G69" s="772"/>
      <c r="H69" s="773"/>
      <c r="I69" s="773"/>
      <c r="J69" s="773"/>
      <c r="K69" s="773"/>
      <c r="L69" s="773"/>
      <c r="M69" s="774"/>
      <c r="N69" s="1185"/>
      <c r="O69" s="1185"/>
      <c r="P69" s="925"/>
      <c r="Q69" s="926"/>
    </row>
    <row r="70" spans="1:17" ht="14.25">
      <c r="A70" s="124" t="s">
        <v>65</v>
      </c>
      <c r="B70" s="183" t="s">
        <v>161</v>
      </c>
      <c r="C70" s="775" t="s">
        <v>932</v>
      </c>
      <c r="D70" s="775" t="s">
        <v>933</v>
      </c>
      <c r="E70" s="775" t="s">
        <v>934</v>
      </c>
      <c r="F70" s="775" t="s">
        <v>935</v>
      </c>
      <c r="G70" s="775" t="s">
        <v>936</v>
      </c>
      <c r="H70" s="728"/>
      <c r="I70" s="728"/>
      <c r="J70" s="728"/>
      <c r="K70" s="776"/>
      <c r="L70" s="777"/>
      <c r="M70" s="778"/>
      <c r="N70" s="1183"/>
      <c r="O70" s="1183"/>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4"/>
      <c r="O71" s="1184"/>
      <c r="P71" s="1"/>
      <c r="Q71" s="68"/>
    </row>
    <row r="72" spans="1:17" ht="15" thickTop="1">
      <c r="A72" s="125"/>
      <c r="B72" s="917" t="s">
        <v>87</v>
      </c>
      <c r="C72" s="780" t="s">
        <v>932</v>
      </c>
      <c r="D72" s="780" t="s">
        <v>933</v>
      </c>
      <c r="E72" s="780" t="s">
        <v>934</v>
      </c>
      <c r="F72" s="780" t="s">
        <v>935</v>
      </c>
      <c r="G72" s="780" t="s">
        <v>936</v>
      </c>
      <c r="H72" s="740"/>
      <c r="I72" s="740"/>
      <c r="J72" s="740"/>
      <c r="K72" s="741"/>
      <c r="L72" s="742"/>
      <c r="M72" s="743"/>
      <c r="N72" s="1183"/>
      <c r="O72" s="1183"/>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4"/>
      <c r="O73" s="1184"/>
      <c r="P73" s="1"/>
      <c r="Q73" s="68"/>
    </row>
    <row r="74" spans="1:17" ht="15" thickTop="1">
      <c r="A74" s="125"/>
      <c r="B74" s="917" t="s">
        <v>2540</v>
      </c>
      <c r="C74" s="780" t="s">
        <v>932</v>
      </c>
      <c r="D74" s="780" t="s">
        <v>933</v>
      </c>
      <c r="E74" s="780" t="s">
        <v>934</v>
      </c>
      <c r="F74" s="780" t="s">
        <v>935</v>
      </c>
      <c r="G74" s="780" t="s">
        <v>936</v>
      </c>
      <c r="H74" s="740"/>
      <c r="I74" s="740"/>
      <c r="J74" s="740"/>
      <c r="K74" s="741"/>
      <c r="L74" s="742"/>
      <c r="M74" s="743"/>
      <c r="N74" s="1183"/>
      <c r="O74" s="1183"/>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4"/>
      <c r="O75" s="1184"/>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58"/>
      <c r="N76" s="1184"/>
      <c r="O76" s="1184"/>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4"/>
      <c r="O77" s="1184"/>
      <c r="P77" s="1"/>
      <c r="Q77" s="68"/>
    </row>
    <row r="78" spans="1:17" ht="15" thickTop="1">
      <c r="A78" s="125"/>
      <c r="B78" s="917" t="s">
        <v>149</v>
      </c>
      <c r="C78" s="780" t="s">
        <v>932</v>
      </c>
      <c r="D78" s="780" t="s">
        <v>933</v>
      </c>
      <c r="E78" s="780" t="s">
        <v>934</v>
      </c>
      <c r="F78" s="780" t="s">
        <v>935</v>
      </c>
      <c r="G78" s="780" t="s">
        <v>936</v>
      </c>
      <c r="H78" s="740"/>
      <c r="I78" s="740"/>
      <c r="J78" s="740"/>
      <c r="K78" s="741"/>
      <c r="L78" s="742"/>
      <c r="M78" s="743"/>
      <c r="N78" s="1183"/>
      <c r="O78" s="1183"/>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4"/>
      <c r="O79" s="1184"/>
      <c r="P79" s="1"/>
      <c r="Q79" s="68"/>
    </row>
    <row r="80" spans="1:17" s="11" customFormat="1" ht="14.25" thickTop="1">
      <c r="A80" s="935"/>
      <c r="B80" s="917">
        <f>B25</f>
        <v>111</v>
      </c>
      <c r="C80" s="86"/>
      <c r="D80" s="86"/>
      <c r="E80" s="86"/>
      <c r="F80" s="86"/>
      <c r="G80" s="86"/>
      <c r="H80" s="86"/>
      <c r="I80" s="86"/>
      <c r="J80" s="86"/>
      <c r="K80" s="86"/>
      <c r="L80" s="1178"/>
      <c r="M80" s="1179"/>
      <c r="N80" s="1182"/>
      <c r="O80" s="1182"/>
      <c r="P80" s="1"/>
      <c r="Q80" s="68"/>
    </row>
    <row r="81" spans="1:17" s="11" customFormat="1" ht="15" thickBot="1">
      <c r="A81" s="935"/>
      <c r="B81" s="918"/>
      <c r="C81" s="762"/>
      <c r="D81" s="736"/>
      <c r="E81" s="736"/>
      <c r="F81" s="736"/>
      <c r="G81" s="736"/>
      <c r="H81" s="736"/>
      <c r="I81" s="736"/>
      <c r="J81" s="736"/>
      <c r="K81" s="736"/>
      <c r="L81" s="736"/>
      <c r="M81" s="737"/>
      <c r="N81" s="1184"/>
      <c r="O81" s="1184"/>
      <c r="P81" s="1"/>
      <c r="Q81" s="68"/>
    </row>
    <row r="82" spans="1:17" s="11" customFormat="1" ht="14.25" thickTop="1">
      <c r="A82" s="935"/>
      <c r="B82" s="917">
        <f>B26</f>
        <v>111</v>
      </c>
      <c r="C82" s="86"/>
      <c r="D82" s="86"/>
      <c r="E82" s="86"/>
      <c r="F82" s="86"/>
      <c r="G82" s="86"/>
      <c r="H82" s="86"/>
      <c r="I82" s="86"/>
      <c r="J82" s="86"/>
      <c r="K82" s="86"/>
      <c r="L82" s="1178"/>
      <c r="M82" s="1179"/>
      <c r="N82" s="1182"/>
      <c r="O82" s="1182"/>
      <c r="P82" s="1"/>
      <c r="Q82" s="68"/>
    </row>
    <row r="83" spans="1:17" s="11" customFormat="1" ht="15" thickBot="1">
      <c r="A83" s="935"/>
      <c r="B83" s="918"/>
      <c r="C83" s="762"/>
      <c r="D83" s="736"/>
      <c r="E83" s="736"/>
      <c r="F83" s="736"/>
      <c r="G83" s="736"/>
      <c r="H83" s="736"/>
      <c r="I83" s="736"/>
      <c r="J83" s="736"/>
      <c r="K83" s="736"/>
      <c r="L83" s="736"/>
      <c r="M83" s="737"/>
      <c r="N83" s="1184"/>
      <c r="O83" s="1184"/>
      <c r="P83" s="1"/>
      <c r="Q83" s="68"/>
    </row>
    <row r="84" spans="1:17" s="898" customFormat="1" ht="14.25" thickTop="1">
      <c r="A84" s="921"/>
      <c r="B84" s="917">
        <f>B27</f>
        <v>111</v>
      </c>
      <c r="C84" s="86"/>
      <c r="D84" s="86"/>
      <c r="E84" s="86"/>
      <c r="F84" s="86"/>
      <c r="G84" s="86"/>
      <c r="H84" s="86"/>
      <c r="I84" s="86"/>
      <c r="J84" s="86"/>
      <c r="K84" s="86"/>
      <c r="L84" s="1178"/>
      <c r="M84" s="1179"/>
      <c r="N84" s="1185"/>
      <c r="O84" s="1185"/>
      <c r="P84" s="925"/>
      <c r="Q84" s="926"/>
    </row>
    <row r="85" spans="1:17" s="898" customFormat="1" ht="15" thickBot="1">
      <c r="A85" s="921"/>
      <c r="B85" s="918"/>
      <c r="C85" s="762"/>
      <c r="D85" s="736"/>
      <c r="E85" s="736"/>
      <c r="F85" s="736"/>
      <c r="G85" s="736"/>
      <c r="H85" s="736"/>
      <c r="I85" s="736"/>
      <c r="J85" s="736"/>
      <c r="K85" s="736"/>
      <c r="L85" s="736"/>
      <c r="M85" s="737"/>
      <c r="N85" s="1185"/>
      <c r="O85" s="1185"/>
      <c r="P85" s="925"/>
      <c r="Q85" s="926"/>
    </row>
    <row r="86" spans="1:17" ht="14.25" thickTop="1">
      <c r="A86" s="125"/>
      <c r="B86" s="919">
        <f>B28</f>
        <v>111</v>
      </c>
      <c r="C86" s="87"/>
      <c r="D86" s="87"/>
      <c r="E86" s="87"/>
      <c r="F86" s="87"/>
      <c r="G86" s="82"/>
      <c r="H86" s="82"/>
      <c r="I86" s="82"/>
      <c r="J86" s="82"/>
      <c r="K86" s="83"/>
      <c r="L86" s="84"/>
      <c r="M86" s="85"/>
      <c r="N86" s="1183"/>
      <c r="O86" s="1183"/>
      <c r="P86" s="1"/>
      <c r="Q86" s="68"/>
    </row>
    <row r="87" spans="1:17" ht="15" thickBot="1">
      <c r="A87" s="126"/>
      <c r="B87" s="934"/>
      <c r="C87" s="772"/>
      <c r="D87" s="772"/>
      <c r="E87" s="772"/>
      <c r="F87" s="772"/>
      <c r="G87" s="793"/>
      <c r="H87" s="793"/>
      <c r="I87" s="793"/>
      <c r="J87" s="793"/>
      <c r="K87" s="793"/>
      <c r="L87" s="793"/>
      <c r="M87" s="794"/>
      <c r="N87" s="1184"/>
      <c r="O87" s="1184"/>
      <c r="P87" s="1"/>
      <c r="Q87" s="68"/>
    </row>
    <row r="88" spans="1:17">
      <c r="A88" s="124" t="s">
        <v>66</v>
      </c>
      <c r="B88" s="183" t="s">
        <v>124</v>
      </c>
      <c r="C88" s="69"/>
      <c r="D88" s="69"/>
      <c r="E88" s="69"/>
      <c r="F88" s="69"/>
      <c r="G88" s="69"/>
      <c r="H88" s="69"/>
      <c r="I88" s="69"/>
      <c r="J88" s="69"/>
      <c r="K88" s="70"/>
      <c r="L88" s="71"/>
      <c r="M88" s="72"/>
      <c r="N88" s="1183"/>
      <c r="O88" s="1183"/>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4"/>
      <c r="O89" s="1184"/>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2"/>
      <c r="O90" s="1182"/>
      <c r="P90" s="1"/>
      <c r="Q90" s="68"/>
    </row>
    <row r="91" spans="1:17" s="898" customFormat="1">
      <c r="A91" s="936"/>
      <c r="B91" s="937"/>
      <c r="C91" s="938"/>
      <c r="D91" s="938"/>
      <c r="E91" s="938"/>
      <c r="F91" s="938"/>
      <c r="G91" s="938"/>
      <c r="H91" s="938"/>
      <c r="I91" s="938"/>
      <c r="J91" s="939"/>
      <c r="K91" s="939"/>
      <c r="L91" s="940"/>
      <c r="M91" s="941"/>
      <c r="N91" s="1185"/>
      <c r="O91" s="1185"/>
      <c r="P91" s="925"/>
      <c r="Q91" s="926"/>
    </row>
    <row r="92" spans="1:17" s="898" customFormat="1" ht="15" thickBot="1">
      <c r="A92" s="921"/>
      <c r="B92" s="918"/>
      <c r="C92" s="762"/>
      <c r="D92" s="736"/>
      <c r="E92" s="736"/>
      <c r="F92" s="736"/>
      <c r="G92" s="736"/>
      <c r="H92" s="736"/>
      <c r="I92" s="736"/>
      <c r="J92" s="736"/>
      <c r="K92" s="736"/>
      <c r="L92" s="736"/>
      <c r="M92" s="737"/>
      <c r="N92" s="1184"/>
      <c r="O92" s="1184"/>
      <c r="P92" s="925"/>
      <c r="Q92" s="926"/>
    </row>
    <row r="93" spans="1:17" ht="14.25" thickTop="1">
      <c r="A93" s="127"/>
      <c r="B93" s="917" t="s">
        <v>90</v>
      </c>
      <c r="C93" s="86"/>
      <c r="D93" s="86"/>
      <c r="E93" s="78"/>
      <c r="F93" s="78"/>
      <c r="G93" s="78"/>
      <c r="H93" s="78"/>
      <c r="I93" s="78"/>
      <c r="J93" s="78"/>
      <c r="K93" s="79"/>
      <c r="L93" s="80"/>
      <c r="M93" s="81"/>
      <c r="N93" s="1183"/>
      <c r="O93" s="1183"/>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4"/>
      <c r="O94" s="1184"/>
      <c r="P94" s="1"/>
      <c r="Q94" s="68"/>
    </row>
    <row r="95" spans="1:17" ht="14.25" thickTop="1">
      <c r="A95" s="127"/>
      <c r="B95" s="917" t="s">
        <v>126</v>
      </c>
      <c r="C95" s="86"/>
      <c r="D95" s="86"/>
      <c r="E95" s="86"/>
      <c r="F95" s="78"/>
      <c r="G95" s="78"/>
      <c r="H95" s="78"/>
      <c r="I95" s="78"/>
      <c r="J95" s="78"/>
      <c r="K95" s="79"/>
      <c r="L95" s="80"/>
      <c r="M95" s="81"/>
      <c r="N95" s="1183"/>
      <c r="O95" s="1183"/>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4"/>
      <c r="O96" s="1184"/>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3"/>
      <c r="O97" s="1183"/>
      <c r="P97" s="1"/>
      <c r="Q97" s="68"/>
    </row>
    <row r="98" spans="1:17" ht="14.25">
      <c r="A98" s="127"/>
      <c r="B98" s="919"/>
      <c r="C98" s="805">
        <v>0.5</v>
      </c>
      <c r="D98" s="805">
        <v>0.6</v>
      </c>
      <c r="E98" s="805">
        <v>0.7</v>
      </c>
      <c r="F98" s="805">
        <v>0.8</v>
      </c>
      <c r="G98" s="805">
        <v>0.9</v>
      </c>
      <c r="H98" s="805">
        <v>1</v>
      </c>
      <c r="I98" s="135"/>
      <c r="J98" s="135"/>
      <c r="K98" s="136"/>
      <c r="L98" s="137"/>
      <c r="M98" s="138"/>
      <c r="N98" s="1183"/>
      <c r="O98" s="1183"/>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4"/>
      <c r="O99" s="1184"/>
      <c r="P99" s="1"/>
      <c r="Q99" s="68"/>
    </row>
    <row r="100" spans="1:17" s="898" customFormat="1" ht="14.25" thickTop="1">
      <c r="A100" s="936"/>
      <c r="B100" s="917" t="s">
        <v>127</v>
      </c>
      <c r="C100" s="86"/>
      <c r="D100" s="86"/>
      <c r="E100" s="86"/>
      <c r="F100" s="86"/>
      <c r="G100" s="86"/>
      <c r="H100" s="78"/>
      <c r="I100" s="78"/>
      <c r="J100" s="78"/>
      <c r="K100" s="79"/>
      <c r="L100" s="80"/>
      <c r="M100" s="81"/>
      <c r="N100" s="1185"/>
      <c r="O100" s="1185"/>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5"/>
      <c r="O101" s="1185"/>
      <c r="P101" s="925"/>
      <c r="Q101" s="926"/>
    </row>
    <row r="102" spans="1:17" ht="14.25" thickTop="1">
      <c r="A102" s="127"/>
      <c r="B102" s="917" t="s">
        <v>2543</v>
      </c>
      <c r="C102" s="86"/>
      <c r="D102" s="86"/>
      <c r="E102" s="86"/>
      <c r="F102" s="86"/>
      <c r="G102" s="86"/>
      <c r="H102" s="78"/>
      <c r="I102" s="78"/>
      <c r="J102" s="78"/>
      <c r="K102" s="79"/>
      <c r="L102" s="80"/>
      <c r="M102" s="81"/>
      <c r="N102" s="1183"/>
      <c r="O102" s="1183"/>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4"/>
      <c r="O103" s="1184"/>
      <c r="P103" s="1"/>
      <c r="Q103" s="68"/>
    </row>
    <row r="104" spans="1:17" ht="14.25" thickTop="1">
      <c r="A104" s="127"/>
      <c r="B104" s="917" t="s">
        <v>128</v>
      </c>
      <c r="C104" s="86"/>
      <c r="D104" s="86"/>
      <c r="E104" s="86"/>
      <c r="F104" s="86"/>
      <c r="G104" s="86"/>
      <c r="H104" s="78"/>
      <c r="I104" s="78"/>
      <c r="J104" s="78"/>
      <c r="K104" s="79"/>
      <c r="L104" s="80"/>
      <c r="M104" s="81"/>
      <c r="N104" s="1183"/>
      <c r="O104" s="1183"/>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4"/>
      <c r="O105" s="1184"/>
      <c r="P105" s="1"/>
      <c r="Q105" s="68"/>
    </row>
    <row r="106" spans="1:17" ht="27.75" thickTop="1">
      <c r="A106" s="127"/>
      <c r="B106" s="163" t="s">
        <v>154</v>
      </c>
      <c r="C106" s="780" t="s">
        <v>932</v>
      </c>
      <c r="D106" s="780" t="s">
        <v>933</v>
      </c>
      <c r="E106" s="780" t="s">
        <v>934</v>
      </c>
      <c r="F106" s="780" t="s">
        <v>935</v>
      </c>
      <c r="G106" s="780" t="s">
        <v>936</v>
      </c>
      <c r="H106" s="740"/>
      <c r="I106" s="740"/>
      <c r="J106" s="740"/>
      <c r="K106" s="741"/>
      <c r="L106" s="742"/>
      <c r="M106" s="743"/>
      <c r="N106" s="1184"/>
      <c r="O106" s="1184"/>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4"/>
      <c r="O107" s="1184"/>
      <c r="P107" s="1"/>
      <c r="Q107" s="68"/>
    </row>
    <row r="108" spans="1:17" s="898" customFormat="1" ht="14.25" thickTop="1">
      <c r="A108" s="936"/>
      <c r="B108" s="917">
        <f>B38</f>
        <v>111</v>
      </c>
      <c r="C108" s="86"/>
      <c r="D108" s="86"/>
      <c r="E108" s="86"/>
      <c r="F108" s="86"/>
      <c r="G108" s="86"/>
      <c r="H108" s="922"/>
      <c r="I108" s="922"/>
      <c r="J108" s="922"/>
      <c r="K108" s="922"/>
      <c r="L108" s="923"/>
      <c r="M108" s="924"/>
      <c r="N108" s="1185"/>
      <c r="O108" s="1185"/>
      <c r="P108" s="925"/>
      <c r="Q108" s="926"/>
    </row>
    <row r="109" spans="1:17" s="898" customFormat="1" ht="15" thickBot="1">
      <c r="A109" s="921"/>
      <c r="B109" s="916"/>
      <c r="C109" s="762"/>
      <c r="D109" s="736"/>
      <c r="E109" s="736"/>
      <c r="F109" s="736"/>
      <c r="G109" s="762"/>
      <c r="H109" s="764"/>
      <c r="I109" s="764"/>
      <c r="J109" s="764"/>
      <c r="K109" s="764"/>
      <c r="L109" s="764"/>
      <c r="M109" s="765"/>
      <c r="N109" s="1185"/>
      <c r="O109" s="1185"/>
      <c r="P109" s="925"/>
      <c r="Q109" s="926"/>
    </row>
    <row r="110" spans="1:17" ht="14.25" thickTop="1">
      <c r="A110" s="127"/>
      <c r="B110" s="917">
        <f>B39</f>
        <v>111</v>
      </c>
      <c r="C110" s="86"/>
      <c r="D110" s="86"/>
      <c r="E110" s="86"/>
      <c r="F110" s="86"/>
      <c r="G110" s="86"/>
      <c r="H110" s="922"/>
      <c r="I110" s="922"/>
      <c r="J110" s="922"/>
      <c r="K110" s="922"/>
      <c r="L110" s="923"/>
      <c r="M110" s="924"/>
      <c r="N110" s="1183"/>
      <c r="O110" s="1183"/>
      <c r="P110" s="1"/>
      <c r="Q110" s="68"/>
    </row>
    <row r="111" spans="1:17" ht="15" thickBot="1">
      <c r="A111" s="125"/>
      <c r="B111" s="918"/>
      <c r="C111" s="762"/>
      <c r="D111" s="736"/>
      <c r="E111" s="736"/>
      <c r="F111" s="736"/>
      <c r="G111" s="762"/>
      <c r="H111" s="764"/>
      <c r="I111" s="764"/>
      <c r="J111" s="764"/>
      <c r="K111" s="764"/>
      <c r="L111" s="764"/>
      <c r="M111" s="765"/>
      <c r="N111" s="1184"/>
      <c r="O111" s="1184"/>
      <c r="P111" s="1"/>
      <c r="Q111" s="68"/>
    </row>
    <row r="112" spans="1:17" ht="14.25" thickTop="1">
      <c r="A112" s="127"/>
      <c r="B112" s="919">
        <f>B40</f>
        <v>111</v>
      </c>
      <c r="C112" s="87"/>
      <c r="D112" s="87"/>
      <c r="E112" s="87"/>
      <c r="F112" s="87"/>
      <c r="G112" s="82"/>
      <c r="H112" s="82"/>
      <c r="I112" s="82"/>
      <c r="J112" s="82"/>
      <c r="K112" s="87"/>
      <c r="L112" s="88"/>
      <c r="M112" s="85"/>
      <c r="N112" s="1183"/>
      <c r="O112" s="1183"/>
      <c r="P112" s="1"/>
      <c r="Q112" s="68"/>
    </row>
    <row r="113" spans="1:17" ht="15" thickBot="1">
      <c r="A113" s="126"/>
      <c r="B113" s="934"/>
      <c r="C113" s="772"/>
      <c r="D113" s="772"/>
      <c r="E113" s="772"/>
      <c r="F113" s="772"/>
      <c r="G113" s="793"/>
      <c r="H113" s="793"/>
      <c r="I113" s="793"/>
      <c r="J113" s="793"/>
      <c r="K113" s="793"/>
      <c r="L113" s="793"/>
      <c r="M113" s="794"/>
      <c r="N113" s="1184"/>
      <c r="O113" s="1184"/>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7"/>
      <c r="I2" s="1637"/>
      <c r="J2" s="1637"/>
      <c r="K2" s="1639"/>
      <c r="L2" s="2619"/>
      <c r="M2" s="1106"/>
      <c r="N2" s="1106"/>
      <c r="O2" s="1106"/>
      <c r="P2" s="1106"/>
      <c r="Q2" s="1106"/>
      <c r="R2" s="1106"/>
      <c r="S2" s="1106"/>
      <c r="T2" s="1106"/>
      <c r="U2" s="1106"/>
      <c r="V2" s="1106"/>
      <c r="W2" s="1106"/>
      <c r="X2" s="1106"/>
      <c r="Y2" s="1106"/>
      <c r="Z2" s="1106"/>
      <c r="AA2" s="1106"/>
      <c r="AB2" s="1106"/>
      <c r="AC2" s="1107"/>
    </row>
    <row r="3" spans="1:29" s="595" customFormat="1" ht="28.5" customHeight="1" thickBot="1">
      <c r="A3" s="384" t="s">
        <v>459</v>
      </c>
      <c r="B3" s="811" t="e">
        <f>IF(AND(D2="——",B37="元/平方米"),C39,ROUND(F3*C39/D3,0))</f>
        <v>#DIV/0!</v>
      </c>
      <c r="C3" s="597" t="s">
        <v>460</v>
      </c>
      <c r="D3" s="596">
        <f>IF(C1="仅计算典型户型",'数据-取费表'!E5,'数据-取费表'!B5)</f>
        <v>255.46</v>
      </c>
      <c r="E3" s="1899" t="s">
        <v>2015</v>
      </c>
      <c r="F3" s="597">
        <f>'数据-取费表'!B41</f>
        <v>0</v>
      </c>
      <c r="G3" s="1637"/>
      <c r="H3" s="1637"/>
      <c r="I3" s="1637"/>
      <c r="J3" s="1637"/>
      <c r="K3" s="1639"/>
      <c r="L3" s="2619"/>
      <c r="M3" s="1106"/>
      <c r="N3" s="1106"/>
      <c r="O3" s="1106"/>
      <c r="P3" s="1106"/>
      <c r="Q3" s="1106"/>
      <c r="R3" s="1106"/>
      <c r="S3" s="1106"/>
      <c r="T3" s="1106"/>
      <c r="U3" s="1106"/>
      <c r="V3" s="1106"/>
      <c r="W3" s="1106"/>
      <c r="X3" s="1106"/>
      <c r="Y3" s="1106"/>
      <c r="Z3" s="1106"/>
      <c r="AA3" s="1106"/>
      <c r="AB3" s="1201"/>
      <c r="AC3" s="1190"/>
    </row>
    <row r="4" spans="1:29" ht="15">
      <c r="A4" s="598" t="s">
        <v>461</v>
      </c>
      <c r="B4" s="599"/>
      <c r="C4" s="3466" t="s">
        <v>462</v>
      </c>
      <c r="D4" s="3467"/>
      <c r="E4" s="3468" t="s">
        <v>463</v>
      </c>
      <c r="F4" s="3469"/>
      <c r="G4" s="3466" t="s">
        <v>464</v>
      </c>
      <c r="H4" s="3467"/>
      <c r="I4" s="3466" t="s">
        <v>465</v>
      </c>
      <c r="J4" s="3467"/>
      <c r="K4" s="812" t="s">
        <v>466</v>
      </c>
      <c r="L4" s="2620"/>
      <c r="M4" s="643"/>
      <c r="N4" s="643"/>
      <c r="O4" s="643"/>
      <c r="P4" s="3470" t="s">
        <v>467</v>
      </c>
      <c r="Q4" s="3471"/>
      <c r="R4" s="3476" t="s">
        <v>463</v>
      </c>
      <c r="S4" s="3477"/>
      <c r="T4" s="3476" t="s">
        <v>464</v>
      </c>
      <c r="U4" s="3477"/>
      <c r="V4" s="3482" t="s">
        <v>465</v>
      </c>
      <c r="W4" s="3482"/>
      <c r="X4" s="2599"/>
      <c r="Y4" s="3476" t="s">
        <v>467</v>
      </c>
      <c r="Z4" s="3477"/>
      <c r="AA4" s="3463" t="s">
        <v>463</v>
      </c>
      <c r="AB4" s="3464" t="s">
        <v>464</v>
      </c>
      <c r="AC4" s="3463" t="s">
        <v>465</v>
      </c>
    </row>
    <row r="5" spans="1:29" ht="15">
      <c r="A5" s="601"/>
      <c r="B5" s="602"/>
      <c r="C5" s="3459" t="s">
        <v>2888</v>
      </c>
      <c r="D5" s="3460"/>
      <c r="E5" s="3483" t="s">
        <v>2889</v>
      </c>
      <c r="F5" s="3484"/>
      <c r="G5" s="3459" t="s">
        <v>2890</v>
      </c>
      <c r="H5" s="3460"/>
      <c r="I5" s="3459" t="s">
        <v>2891</v>
      </c>
      <c r="J5" s="3460"/>
      <c r="K5" s="812"/>
      <c r="L5" s="2620"/>
      <c r="M5" s="643"/>
      <c r="N5" s="643"/>
      <c r="O5" s="643"/>
      <c r="P5" s="3472"/>
      <c r="Q5" s="3473"/>
      <c r="R5" s="3478"/>
      <c r="S5" s="3479"/>
      <c r="T5" s="3478"/>
      <c r="U5" s="3479"/>
      <c r="V5" s="3482"/>
      <c r="W5" s="3482"/>
      <c r="X5" s="2599"/>
      <c r="Y5" s="3478"/>
      <c r="Z5" s="3479"/>
      <c r="AA5" s="3464"/>
      <c r="AB5" s="3464"/>
      <c r="AC5" s="3464"/>
    </row>
    <row r="6" spans="1:29" ht="15.75" thickBot="1">
      <c r="A6" s="603"/>
      <c r="B6" s="604"/>
      <c r="C6" s="3456" t="s">
        <v>2892</v>
      </c>
      <c r="D6" s="3457"/>
      <c r="E6" s="3454" t="s">
        <v>2892</v>
      </c>
      <c r="F6" s="3455"/>
      <c r="G6" s="3456" t="s">
        <v>2892</v>
      </c>
      <c r="H6" s="3457"/>
      <c r="I6" s="3456" t="s">
        <v>2892</v>
      </c>
      <c r="J6" s="3457"/>
      <c r="K6" s="812" t="s">
        <v>411</v>
      </c>
      <c r="L6" s="2620"/>
      <c r="M6" s="643"/>
      <c r="N6" s="643"/>
      <c r="O6" s="643"/>
      <c r="P6" s="3474"/>
      <c r="Q6" s="3475"/>
      <c r="R6" s="3478"/>
      <c r="S6" s="3479"/>
      <c r="T6" s="3480"/>
      <c r="U6" s="3481"/>
      <c r="V6" s="3482"/>
      <c r="W6" s="3482"/>
      <c r="X6" s="2599"/>
      <c r="Y6" s="3480"/>
      <c r="Z6" s="3481"/>
      <c r="AA6" s="3465"/>
      <c r="AB6" s="3465"/>
      <c r="AC6" s="3465"/>
    </row>
    <row r="7" spans="1:29" s="218" customFormat="1" ht="15.75" thickBot="1">
      <c r="A7" s="605" t="s">
        <v>412</v>
      </c>
      <c r="B7" s="606"/>
      <c r="C7" s="607">
        <f>'数据-取费表'!B2</f>
        <v>42998</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61" t="s">
        <v>413</v>
      </c>
      <c r="Q7" s="3485"/>
      <c r="R7" s="1109" t="s">
        <v>61</v>
      </c>
      <c r="S7" s="1110">
        <f t="shared" ref="S7:S14" si="0">F7</f>
        <v>0</v>
      </c>
      <c r="T7" s="1109" t="s">
        <v>61</v>
      </c>
      <c r="U7" s="1110">
        <f t="shared" ref="U7:U14" si="1">H7</f>
        <v>0</v>
      </c>
      <c r="V7" s="1109" t="s">
        <v>61</v>
      </c>
      <c r="W7" s="1110">
        <f t="shared" ref="W7:W14" si="2">J7</f>
        <v>0</v>
      </c>
      <c r="X7" s="1111"/>
      <c r="Y7" s="3461" t="s">
        <v>413</v>
      </c>
      <c r="Z7" s="3462"/>
      <c r="AA7" s="1112" t="e">
        <f>D7/F7</f>
        <v>#DIV/0!</v>
      </c>
      <c r="AB7" s="1112" t="e">
        <f>D7/H7</f>
        <v>#DIV/0!</v>
      </c>
      <c r="AC7" s="1112"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61" t="s">
        <v>448</v>
      </c>
      <c r="Q8" s="3462"/>
      <c r="R8" s="1109" t="s">
        <v>61</v>
      </c>
      <c r="S8" s="1110">
        <f t="shared" si="0"/>
        <v>0</v>
      </c>
      <c r="T8" s="1109" t="s">
        <v>61</v>
      </c>
      <c r="U8" s="1110">
        <f t="shared" si="1"/>
        <v>0</v>
      </c>
      <c r="V8" s="1109" t="s">
        <v>61</v>
      </c>
      <c r="W8" s="1110">
        <f t="shared" si="2"/>
        <v>0</v>
      </c>
      <c r="X8" s="1111"/>
      <c r="Y8" s="3461" t="s">
        <v>448</v>
      </c>
      <c r="Z8" s="3462"/>
      <c r="AA8" s="1112" t="e">
        <f t="shared" ref="AA8:AA36" si="3">D8/F8</f>
        <v>#DIV/0!</v>
      </c>
      <c r="AB8" s="1112" t="e">
        <f t="shared" ref="AB8:AB36" si="4">D8/H8</f>
        <v>#DIV/0!</v>
      </c>
      <c r="AC8" s="1112"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58" t="s">
        <v>416</v>
      </c>
      <c r="Q9" s="2597" t="str">
        <f t="shared" ref="Q9:Q14" si="6">B9</f>
        <v>用途</v>
      </c>
      <c r="R9" s="1109" t="s">
        <v>61</v>
      </c>
      <c r="S9" s="1110">
        <f t="shared" si="0"/>
        <v>100</v>
      </c>
      <c r="T9" s="1109" t="s">
        <v>61</v>
      </c>
      <c r="U9" s="1110">
        <f t="shared" si="1"/>
        <v>100</v>
      </c>
      <c r="V9" s="1109" t="s">
        <v>61</v>
      </c>
      <c r="W9" s="1110">
        <f t="shared" si="2"/>
        <v>100</v>
      </c>
      <c r="X9" s="1111"/>
      <c r="Y9" s="3300" t="s">
        <v>417</v>
      </c>
      <c r="Z9" s="206" t="str">
        <f t="shared" ref="Z9:Z14" si="7">Q9</f>
        <v>用途</v>
      </c>
      <c r="AA9" s="1112">
        <f t="shared" si="3"/>
        <v>1</v>
      </c>
      <c r="AB9" s="1112">
        <f t="shared" si="4"/>
        <v>1</v>
      </c>
      <c r="AC9" s="1112">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58"/>
      <c r="Q10" s="2597" t="str">
        <f t="shared" si="6"/>
        <v>土地使用年限（年）</v>
      </c>
      <c r="R10" s="1109" t="s">
        <v>61</v>
      </c>
      <c r="S10" s="1110">
        <f t="shared" si="0"/>
        <v>100</v>
      </c>
      <c r="T10" s="1109" t="s">
        <v>61</v>
      </c>
      <c r="U10" s="1110">
        <f t="shared" si="1"/>
        <v>100</v>
      </c>
      <c r="V10" s="1109" t="s">
        <v>61</v>
      </c>
      <c r="W10" s="1110">
        <f t="shared" si="2"/>
        <v>100</v>
      </c>
      <c r="X10" s="1111"/>
      <c r="Y10" s="3300"/>
      <c r="Z10" s="206" t="str">
        <f t="shared" si="7"/>
        <v>土地使用年限（年）</v>
      </c>
      <c r="AA10" s="1112">
        <f t="shared" si="3"/>
        <v>1</v>
      </c>
      <c r="AB10" s="1112">
        <f t="shared" si="4"/>
        <v>1</v>
      </c>
      <c r="AC10" s="1112">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58"/>
      <c r="Q11" s="2597">
        <f t="shared" si="6"/>
        <v>111</v>
      </c>
      <c r="R11" s="1109" t="s">
        <v>61</v>
      </c>
      <c r="S11" s="1110">
        <f t="shared" si="0"/>
        <v>100</v>
      </c>
      <c r="T11" s="1109" t="s">
        <v>61</v>
      </c>
      <c r="U11" s="1110">
        <f t="shared" si="1"/>
        <v>100</v>
      </c>
      <c r="V11" s="1109" t="s">
        <v>61</v>
      </c>
      <c r="W11" s="1110">
        <f t="shared" si="2"/>
        <v>100</v>
      </c>
      <c r="X11" s="1111"/>
      <c r="Y11" s="3300"/>
      <c r="Z11" s="206">
        <f t="shared" si="7"/>
        <v>111</v>
      </c>
      <c r="AA11" s="1112">
        <f t="shared" si="3"/>
        <v>1</v>
      </c>
      <c r="AB11" s="1112">
        <f t="shared" si="4"/>
        <v>1</v>
      </c>
      <c r="AC11" s="1112">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58"/>
      <c r="Q12" s="2597">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58"/>
      <c r="Q13" s="2597">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85.5">
      <c r="A14" s="598" t="s">
        <v>420</v>
      </c>
      <c r="B14" s="831" t="s">
        <v>468</v>
      </c>
      <c r="C14" s="2572" t="str">
        <f>IF(B1="工业",估价对象房地状况!G4,估价对象房地状况!C6)</f>
        <v>估价对象周边道路状况、公共交通通达情况、停车便捷程度，综合评价交通便捷度较好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86" t="s">
        <v>421</v>
      </c>
      <c r="Q14" s="2598" t="str">
        <f t="shared" si="6"/>
        <v>交通便捷度</v>
      </c>
      <c r="R14" s="1114" t="s">
        <v>61</v>
      </c>
      <c r="S14" s="1115">
        <f t="shared" si="0"/>
        <v>100</v>
      </c>
      <c r="T14" s="1114" t="s">
        <v>61</v>
      </c>
      <c r="U14" s="1115">
        <f t="shared" si="1"/>
        <v>100</v>
      </c>
      <c r="V14" s="1114" t="s">
        <v>61</v>
      </c>
      <c r="W14" s="1115">
        <f t="shared" si="2"/>
        <v>100</v>
      </c>
      <c r="X14" s="2599"/>
      <c r="Y14" s="3486" t="s">
        <v>421</v>
      </c>
      <c r="Z14" s="2601" t="str">
        <f t="shared" si="7"/>
        <v>交通便捷度</v>
      </c>
      <c r="AA14" s="1117">
        <f t="shared" si="3"/>
        <v>1</v>
      </c>
      <c r="AB14" s="1117">
        <f t="shared" si="4"/>
        <v>1</v>
      </c>
      <c r="AC14" s="1117">
        <f t="shared" si="5"/>
        <v>1</v>
      </c>
    </row>
    <row r="15" spans="1:29" ht="15">
      <c r="A15" s="601"/>
      <c r="B15" s="849"/>
      <c r="C15" s="2573"/>
      <c r="D15" s="2567"/>
      <c r="E15" s="644"/>
      <c r="F15" s="645"/>
      <c r="G15" s="2564"/>
      <c r="H15" s="648"/>
      <c r="I15" s="644"/>
      <c r="J15" s="645"/>
      <c r="K15" s="817"/>
      <c r="L15" s="2628"/>
      <c r="M15" s="643"/>
      <c r="N15" s="643"/>
      <c r="O15" s="2600"/>
      <c r="P15" s="3487"/>
      <c r="Q15" s="2598"/>
      <c r="R15" s="1114"/>
      <c r="S15" s="1115"/>
      <c r="T15" s="1114"/>
      <c r="U15" s="1115"/>
      <c r="V15" s="1114"/>
      <c r="W15" s="1115"/>
      <c r="X15" s="2599"/>
      <c r="Y15" s="3487"/>
      <c r="Z15" s="2601"/>
      <c r="AA15" s="1117">
        <v>1</v>
      </c>
      <c r="AB15" s="1117">
        <v>1</v>
      </c>
      <c r="AC15" s="1117">
        <v>1</v>
      </c>
    </row>
    <row r="16" spans="1:29" ht="42.75">
      <c r="A16" s="601"/>
      <c r="B16" s="892" t="s">
        <v>2553</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87"/>
      <c r="Q16" s="2598" t="str">
        <f>B16</f>
        <v>公共配套设施</v>
      </c>
      <c r="R16" s="1114" t="s">
        <v>61</v>
      </c>
      <c r="S16" s="1115">
        <f>F16</f>
        <v>100</v>
      </c>
      <c r="T16" s="1114" t="s">
        <v>61</v>
      </c>
      <c r="U16" s="1115">
        <f>H16</f>
        <v>100</v>
      </c>
      <c r="V16" s="1114" t="s">
        <v>61</v>
      </c>
      <c r="W16" s="1115">
        <f>J16</f>
        <v>100</v>
      </c>
      <c r="X16" s="2599"/>
      <c r="Y16" s="3487"/>
      <c r="Z16" s="2601" t="str">
        <f>Q16</f>
        <v>公共配套设施</v>
      </c>
      <c r="AA16" s="1117">
        <f t="shared" si="3"/>
        <v>1</v>
      </c>
      <c r="AB16" s="1117">
        <f t="shared" si="4"/>
        <v>1</v>
      </c>
      <c r="AC16" s="1117">
        <f t="shared" si="5"/>
        <v>1</v>
      </c>
    </row>
    <row r="17" spans="1:29" ht="15">
      <c r="A17" s="601"/>
      <c r="B17" s="893"/>
      <c r="C17" s="2562"/>
      <c r="D17" s="2568"/>
      <c r="E17" s="646"/>
      <c r="F17" s="648"/>
      <c r="G17" s="646"/>
      <c r="H17" s="645"/>
      <c r="I17" s="646"/>
      <c r="J17" s="645"/>
      <c r="K17" s="817"/>
      <c r="L17" s="2628"/>
      <c r="M17" s="643"/>
      <c r="N17" s="643"/>
      <c r="O17" s="2600"/>
      <c r="P17" s="3487"/>
      <c r="Q17" s="2598"/>
      <c r="R17" s="1114"/>
      <c r="S17" s="1115"/>
      <c r="T17" s="1114"/>
      <c r="U17" s="1115"/>
      <c r="V17" s="1114"/>
      <c r="W17" s="1115"/>
      <c r="X17" s="2599"/>
      <c r="Y17" s="3487"/>
      <c r="Z17" s="2601"/>
      <c r="AA17" s="1117">
        <v>1</v>
      </c>
      <c r="AB17" s="1117">
        <v>1</v>
      </c>
      <c r="AC17" s="1117">
        <v>1</v>
      </c>
    </row>
    <row r="18" spans="1:29" ht="28.5">
      <c r="A18" s="601"/>
      <c r="B18" s="894" t="s">
        <v>2554</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87"/>
      <c r="Q18" s="2598" t="str">
        <f>B18</f>
        <v>基础设施水平</v>
      </c>
      <c r="R18" s="1114" t="s">
        <v>61</v>
      </c>
      <c r="S18" s="1115">
        <f>F18</f>
        <v>100</v>
      </c>
      <c r="T18" s="1114" t="s">
        <v>61</v>
      </c>
      <c r="U18" s="1115">
        <f>H18</f>
        <v>100</v>
      </c>
      <c r="V18" s="1114" t="s">
        <v>61</v>
      </c>
      <c r="W18" s="1115">
        <f>J18</f>
        <v>100</v>
      </c>
      <c r="X18" s="2599"/>
      <c r="Y18" s="3487"/>
      <c r="Z18" s="2601" t="str">
        <f>Q18</f>
        <v>基础设施水平</v>
      </c>
      <c r="AA18" s="1117">
        <f t="shared" ref="AA18" si="8">D18/F18</f>
        <v>1</v>
      </c>
      <c r="AB18" s="1117">
        <f t="shared" ref="AB18" si="9">D18/H18</f>
        <v>1</v>
      </c>
      <c r="AC18" s="1117">
        <f t="shared" ref="AC18" si="10">D18/J18</f>
        <v>1</v>
      </c>
    </row>
    <row r="19" spans="1:29" ht="15">
      <c r="A19" s="601"/>
      <c r="B19" s="894"/>
      <c r="C19" s="2563"/>
      <c r="D19" s="2568"/>
      <c r="E19" s="2560"/>
      <c r="F19" s="648"/>
      <c r="G19" s="2560"/>
      <c r="H19" s="645"/>
      <c r="I19" s="646"/>
      <c r="J19" s="645"/>
      <c r="K19" s="2561"/>
      <c r="L19" s="2628"/>
      <c r="M19" s="643"/>
      <c r="N19" s="643"/>
      <c r="O19" s="2600"/>
      <c r="P19" s="3487"/>
      <c r="Q19" s="2598"/>
      <c r="R19" s="1114"/>
      <c r="S19" s="1115"/>
      <c r="T19" s="1114"/>
      <c r="U19" s="1115"/>
      <c r="V19" s="1114"/>
      <c r="W19" s="1115"/>
      <c r="X19" s="2599"/>
      <c r="Y19" s="3487"/>
      <c r="Z19" s="2601"/>
      <c r="AA19" s="1117">
        <v>1</v>
      </c>
      <c r="AB19" s="1117">
        <v>1</v>
      </c>
      <c r="AC19" s="1117">
        <v>1</v>
      </c>
    </row>
    <row r="20" spans="1:29" ht="57">
      <c r="A20" s="601"/>
      <c r="B20" s="833" t="s">
        <v>469</v>
      </c>
      <c r="C20" s="2574" t="str">
        <f>IF(B1="工业",估价对象房地状况!G7,估价对象房地状况!C9)</f>
        <v>区域自然环境：；人文环境；综合评价环境状况一般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87"/>
      <c r="Q20" s="2598" t="str">
        <f>B20</f>
        <v>自然及人文环境</v>
      </c>
      <c r="R20" s="1114" t="s">
        <v>61</v>
      </c>
      <c r="S20" s="1115">
        <f>F20</f>
        <v>100</v>
      </c>
      <c r="T20" s="1114" t="s">
        <v>61</v>
      </c>
      <c r="U20" s="1115">
        <f>H20</f>
        <v>100</v>
      </c>
      <c r="V20" s="1114" t="s">
        <v>61</v>
      </c>
      <c r="W20" s="1115">
        <f>J20</f>
        <v>100</v>
      </c>
      <c r="X20" s="2599"/>
      <c r="Y20" s="3487"/>
      <c r="Z20" s="2601" t="str">
        <f>Q20</f>
        <v>自然及人文环境</v>
      </c>
      <c r="AA20" s="1117">
        <f t="shared" si="3"/>
        <v>1</v>
      </c>
      <c r="AB20" s="1117">
        <f t="shared" si="4"/>
        <v>1</v>
      </c>
      <c r="AC20" s="1117">
        <f t="shared" si="5"/>
        <v>1</v>
      </c>
    </row>
    <row r="21" spans="1:29" ht="15">
      <c r="A21" s="601"/>
      <c r="B21" s="834"/>
      <c r="C21" s="2573"/>
      <c r="D21" s="2567"/>
      <c r="E21" s="644"/>
      <c r="F21" s="645"/>
      <c r="G21" s="2564"/>
      <c r="H21" s="645"/>
      <c r="I21" s="644"/>
      <c r="J21" s="645"/>
      <c r="K21" s="817"/>
      <c r="L21" s="2628"/>
      <c r="M21" s="643"/>
      <c r="N21" s="643"/>
      <c r="O21" s="2600"/>
      <c r="P21" s="3487"/>
      <c r="Q21" s="2598"/>
      <c r="R21" s="1114"/>
      <c r="S21" s="1115"/>
      <c r="T21" s="1114"/>
      <c r="U21" s="1115"/>
      <c r="V21" s="1114"/>
      <c r="W21" s="1115"/>
      <c r="X21" s="2599"/>
      <c r="Y21" s="3487"/>
      <c r="Z21" s="2601"/>
      <c r="AA21" s="1117">
        <v>1</v>
      </c>
      <c r="AB21" s="1117">
        <v>1</v>
      </c>
      <c r="AC21" s="1117">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87"/>
      <c r="Q22" s="2598" t="str">
        <f>B22</f>
        <v>楼层</v>
      </c>
      <c r="R22" s="1114" t="s">
        <v>61</v>
      </c>
      <c r="S22" s="1115">
        <f>F22</f>
        <v>100</v>
      </c>
      <c r="T22" s="1114" t="s">
        <v>61</v>
      </c>
      <c r="U22" s="1115">
        <f>H22</f>
        <v>100</v>
      </c>
      <c r="V22" s="1114" t="s">
        <v>61</v>
      </c>
      <c r="W22" s="1115">
        <f>J22</f>
        <v>100</v>
      </c>
      <c r="X22" s="2599"/>
      <c r="Y22" s="3487"/>
      <c r="Z22" s="2601" t="str">
        <f>Q22</f>
        <v>楼层</v>
      </c>
      <c r="AA22" s="1117">
        <f t="shared" si="3"/>
        <v>1</v>
      </c>
      <c r="AB22" s="1117">
        <f t="shared" si="4"/>
        <v>1</v>
      </c>
      <c r="AC22" s="1117">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87"/>
      <c r="Q23" s="2598">
        <f>B23</f>
        <v>111</v>
      </c>
      <c r="R23" s="1114" t="s">
        <v>61</v>
      </c>
      <c r="S23" s="1115">
        <f>F23</f>
        <v>100</v>
      </c>
      <c r="T23" s="1114" t="s">
        <v>61</v>
      </c>
      <c r="U23" s="1115">
        <f>H23</f>
        <v>100</v>
      </c>
      <c r="V23" s="1114" t="s">
        <v>61</v>
      </c>
      <c r="W23" s="1115">
        <f>J23</f>
        <v>100</v>
      </c>
      <c r="X23" s="2599"/>
      <c r="Y23" s="3487"/>
      <c r="Z23" s="2601">
        <f>Q23</f>
        <v>111</v>
      </c>
      <c r="AA23" s="1117">
        <f t="shared" si="3"/>
        <v>1</v>
      </c>
      <c r="AB23" s="1117">
        <f t="shared" si="4"/>
        <v>1</v>
      </c>
      <c r="AC23" s="1117">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87"/>
      <c r="Q24" s="2598">
        <f t="shared" ref="Q24:Q36" si="11">B24</f>
        <v>111</v>
      </c>
      <c r="R24" s="1114" t="s">
        <v>61</v>
      </c>
      <c r="S24" s="1115">
        <f>F24</f>
        <v>100</v>
      </c>
      <c r="T24" s="1114" t="s">
        <v>61</v>
      </c>
      <c r="U24" s="1115">
        <f>H24</f>
        <v>100</v>
      </c>
      <c r="V24" s="1114" t="s">
        <v>61</v>
      </c>
      <c r="W24" s="1115">
        <f>J24</f>
        <v>100</v>
      </c>
      <c r="X24" s="2599"/>
      <c r="Y24" s="3487"/>
      <c r="Z24" s="2601">
        <f>Q24</f>
        <v>111</v>
      </c>
      <c r="AA24" s="1117">
        <f t="shared" si="3"/>
        <v>1</v>
      </c>
      <c r="AB24" s="1117">
        <f t="shared" si="4"/>
        <v>1</v>
      </c>
      <c r="AC24" s="1117">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87"/>
      <c r="Q25" s="2597">
        <f t="shared" si="11"/>
        <v>111</v>
      </c>
      <c r="R25" s="1109" t="s">
        <v>61</v>
      </c>
      <c r="S25" s="1110">
        <f>F25</f>
        <v>100</v>
      </c>
      <c r="T25" s="1109" t="s">
        <v>61</v>
      </c>
      <c r="U25" s="1110">
        <f>H25</f>
        <v>100</v>
      </c>
      <c r="V25" s="1109" t="s">
        <v>61</v>
      </c>
      <c r="W25" s="1110">
        <f>J25</f>
        <v>100</v>
      </c>
      <c r="X25" s="1111"/>
      <c r="Y25" s="3487"/>
      <c r="Z25" s="206">
        <f>Q25</f>
        <v>111</v>
      </c>
      <c r="AA25" s="1117">
        <f>D25/F25</f>
        <v>1</v>
      </c>
      <c r="AB25" s="1117">
        <f>D25/H25</f>
        <v>1</v>
      </c>
      <c r="AC25" s="1117">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88" t="s">
        <v>423</v>
      </c>
      <c r="Q26" s="2598" t="str">
        <f t="shared" si="11"/>
        <v>配套类型</v>
      </c>
      <c r="R26" s="1114" t="s">
        <v>61</v>
      </c>
      <c r="S26" s="1115">
        <f t="shared" ref="S26:S36" si="12">F26</f>
        <v>100</v>
      </c>
      <c r="T26" s="1114" t="s">
        <v>61</v>
      </c>
      <c r="U26" s="1115">
        <f t="shared" ref="U26:U36" si="13">H26</f>
        <v>100</v>
      </c>
      <c r="V26" s="1114" t="s">
        <v>61</v>
      </c>
      <c r="W26" s="1115">
        <f t="shared" ref="W26:W36" si="14">J26</f>
        <v>100</v>
      </c>
      <c r="X26" s="2599"/>
      <c r="Y26" s="3489" t="s">
        <v>423</v>
      </c>
      <c r="Z26" s="2601" t="str">
        <f t="shared" ref="Z26:Z36" si="15">Q26</f>
        <v>配套类型</v>
      </c>
      <c r="AA26" s="1117">
        <f t="shared" si="3"/>
        <v>1</v>
      </c>
      <c r="AB26" s="1117">
        <f t="shared" si="4"/>
        <v>1</v>
      </c>
      <c r="AC26" s="1117">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89"/>
      <c r="Q27" s="1118" t="str">
        <f t="shared" si="11"/>
        <v>项目停车位配比</v>
      </c>
      <c r="R27" s="1119" t="s">
        <v>61</v>
      </c>
      <c r="S27" s="1120">
        <f t="shared" si="12"/>
        <v>100</v>
      </c>
      <c r="T27" s="1119" t="s">
        <v>61</v>
      </c>
      <c r="U27" s="1120">
        <f t="shared" si="13"/>
        <v>100</v>
      </c>
      <c r="V27" s="1119" t="s">
        <v>61</v>
      </c>
      <c r="W27" s="1120">
        <f t="shared" si="14"/>
        <v>100</v>
      </c>
      <c r="X27" s="1121"/>
      <c r="Y27" s="3489"/>
      <c r="Z27" s="1122" t="str">
        <f t="shared" si="15"/>
        <v>项目停车位配比</v>
      </c>
      <c r="AA27" s="1117">
        <f t="shared" si="3"/>
        <v>1</v>
      </c>
      <c r="AB27" s="1117">
        <f t="shared" si="4"/>
        <v>1</v>
      </c>
      <c r="AC27" s="1117">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89"/>
      <c r="Q28" s="2598" t="str">
        <f t="shared" si="11"/>
        <v>公共部分装修</v>
      </c>
      <c r="R28" s="1114" t="s">
        <v>61</v>
      </c>
      <c r="S28" s="1115">
        <f t="shared" si="12"/>
        <v>100</v>
      </c>
      <c r="T28" s="1114" t="s">
        <v>61</v>
      </c>
      <c r="U28" s="1115">
        <f t="shared" si="13"/>
        <v>100</v>
      </c>
      <c r="V28" s="1114" t="s">
        <v>61</v>
      </c>
      <c r="W28" s="1115">
        <f t="shared" si="14"/>
        <v>100</v>
      </c>
      <c r="X28" s="2599"/>
      <c r="Y28" s="3489"/>
      <c r="Z28" s="2601" t="str">
        <f t="shared" si="15"/>
        <v>公共部分装修</v>
      </c>
      <c r="AA28" s="1117">
        <f t="shared" si="3"/>
        <v>1</v>
      </c>
      <c r="AB28" s="1117">
        <f t="shared" si="4"/>
        <v>1</v>
      </c>
      <c r="AC28" s="1117">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89"/>
      <c r="Q29" s="2598" t="str">
        <f t="shared" si="11"/>
        <v>成新率</v>
      </c>
      <c r="R29" s="1114" t="s">
        <v>61</v>
      </c>
      <c r="S29" s="1115" t="e">
        <f t="shared" si="12"/>
        <v>#N/A</v>
      </c>
      <c r="T29" s="1114" t="s">
        <v>61</v>
      </c>
      <c r="U29" s="1115" t="e">
        <f t="shared" si="13"/>
        <v>#N/A</v>
      </c>
      <c r="V29" s="1114" t="s">
        <v>61</v>
      </c>
      <c r="W29" s="1115" t="e">
        <f t="shared" si="14"/>
        <v>#N/A</v>
      </c>
      <c r="X29" s="2599"/>
      <c r="Y29" s="3489"/>
      <c r="Z29" s="2601" t="str">
        <f t="shared" si="15"/>
        <v>成新率</v>
      </c>
      <c r="AA29" s="1117" t="e">
        <f t="shared" si="3"/>
        <v>#N/A</v>
      </c>
      <c r="AB29" s="1117" t="e">
        <f t="shared" si="4"/>
        <v>#N/A</v>
      </c>
      <c r="AC29" s="1117"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89"/>
      <c r="Q30" s="2598" t="str">
        <f t="shared" si="11"/>
        <v>物业等级</v>
      </c>
      <c r="R30" s="1114" t="s">
        <v>61</v>
      </c>
      <c r="S30" s="1115">
        <f t="shared" si="12"/>
        <v>100</v>
      </c>
      <c r="T30" s="1114" t="s">
        <v>61</v>
      </c>
      <c r="U30" s="1115">
        <f t="shared" si="13"/>
        <v>100</v>
      </c>
      <c r="V30" s="1114" t="s">
        <v>61</v>
      </c>
      <c r="W30" s="1115">
        <f t="shared" si="14"/>
        <v>100</v>
      </c>
      <c r="X30" s="2599"/>
      <c r="Y30" s="3489"/>
      <c r="Z30" s="2601" t="str">
        <f t="shared" si="15"/>
        <v>物业等级</v>
      </c>
      <c r="AA30" s="1117">
        <f t="shared" si="3"/>
        <v>1</v>
      </c>
      <c r="AB30" s="1117">
        <f t="shared" si="4"/>
        <v>1</v>
      </c>
      <c r="AC30" s="1117">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89"/>
      <c r="Q31" s="2597" t="str">
        <f t="shared" si="11"/>
        <v>停车位面积</v>
      </c>
      <c r="R31" s="1109" t="s">
        <v>61</v>
      </c>
      <c r="S31" s="1110" t="e">
        <f t="shared" si="12"/>
        <v>#N/A</v>
      </c>
      <c r="T31" s="1109" t="s">
        <v>61</v>
      </c>
      <c r="U31" s="1110" t="e">
        <f t="shared" si="13"/>
        <v>#N/A</v>
      </c>
      <c r="V31" s="1109" t="s">
        <v>61</v>
      </c>
      <c r="W31" s="1110" t="e">
        <f t="shared" si="14"/>
        <v>#N/A</v>
      </c>
      <c r="X31" s="1111"/>
      <c r="Y31" s="3489"/>
      <c r="Z31" s="206" t="str">
        <f t="shared" si="15"/>
        <v>停车位面积</v>
      </c>
      <c r="AA31" s="1112" t="e">
        <f t="shared" si="3"/>
        <v>#N/A</v>
      </c>
      <c r="AB31" s="1112" t="e">
        <f t="shared" si="4"/>
        <v>#N/A</v>
      </c>
      <c r="AC31" s="1112"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89" t="s">
        <v>423</v>
      </c>
      <c r="Q32" s="2598" t="str">
        <f t="shared" si="11"/>
        <v>车位类型</v>
      </c>
      <c r="R32" s="1114" t="s">
        <v>61</v>
      </c>
      <c r="S32" s="1115">
        <f t="shared" si="12"/>
        <v>100</v>
      </c>
      <c r="T32" s="1114" t="s">
        <v>61</v>
      </c>
      <c r="U32" s="1115">
        <f t="shared" si="13"/>
        <v>100</v>
      </c>
      <c r="V32" s="1114" t="s">
        <v>61</v>
      </c>
      <c r="W32" s="1115">
        <f t="shared" si="14"/>
        <v>100</v>
      </c>
      <c r="X32" s="2599"/>
      <c r="Y32" s="3489" t="s">
        <v>423</v>
      </c>
      <c r="Z32" s="2601" t="str">
        <f t="shared" si="15"/>
        <v>车位类型</v>
      </c>
      <c r="AA32" s="1117">
        <f t="shared" si="3"/>
        <v>1</v>
      </c>
      <c r="AB32" s="1117">
        <f t="shared" si="4"/>
        <v>1</v>
      </c>
      <c r="AC32" s="1117">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89"/>
      <c r="Q33" s="2598" t="str">
        <f t="shared" si="11"/>
        <v>是否直接入户</v>
      </c>
      <c r="R33" s="1114" t="s">
        <v>61</v>
      </c>
      <c r="S33" s="1115">
        <f t="shared" si="12"/>
        <v>100</v>
      </c>
      <c r="T33" s="1114" t="s">
        <v>61</v>
      </c>
      <c r="U33" s="1115">
        <f t="shared" si="13"/>
        <v>100</v>
      </c>
      <c r="V33" s="1114" t="s">
        <v>61</v>
      </c>
      <c r="W33" s="1115">
        <f t="shared" si="14"/>
        <v>100</v>
      </c>
      <c r="X33" s="2599"/>
      <c r="Y33" s="3489"/>
      <c r="Z33" s="2601" t="str">
        <f t="shared" si="15"/>
        <v>是否直接入户</v>
      </c>
      <c r="AA33" s="1117">
        <f t="shared" si="3"/>
        <v>1</v>
      </c>
      <c r="AB33" s="1117">
        <f t="shared" si="4"/>
        <v>1</v>
      </c>
      <c r="AC33" s="1117">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89"/>
      <c r="Q34" s="2598">
        <f t="shared" si="11"/>
        <v>111</v>
      </c>
      <c r="R34" s="1114" t="s">
        <v>61</v>
      </c>
      <c r="S34" s="1115">
        <f t="shared" si="12"/>
        <v>100</v>
      </c>
      <c r="T34" s="1114" t="s">
        <v>61</v>
      </c>
      <c r="U34" s="1115">
        <f t="shared" si="13"/>
        <v>100</v>
      </c>
      <c r="V34" s="1114" t="s">
        <v>61</v>
      </c>
      <c r="W34" s="1115">
        <f t="shared" si="14"/>
        <v>100</v>
      </c>
      <c r="X34" s="2599"/>
      <c r="Y34" s="3489"/>
      <c r="Z34" s="2601">
        <f t="shared" si="15"/>
        <v>111</v>
      </c>
      <c r="AA34" s="1117">
        <f t="shared" si="3"/>
        <v>1</v>
      </c>
      <c r="AB34" s="1117">
        <f t="shared" si="4"/>
        <v>1</v>
      </c>
      <c r="AC34" s="1117">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89"/>
      <c r="Q35" s="1118">
        <f t="shared" si="11"/>
        <v>111</v>
      </c>
      <c r="R35" s="1119" t="s">
        <v>61</v>
      </c>
      <c r="S35" s="1120">
        <f t="shared" si="12"/>
        <v>100</v>
      </c>
      <c r="T35" s="1119" t="s">
        <v>61</v>
      </c>
      <c r="U35" s="1120">
        <f t="shared" si="13"/>
        <v>100</v>
      </c>
      <c r="V35" s="1119" t="s">
        <v>61</v>
      </c>
      <c r="W35" s="1120">
        <f t="shared" si="14"/>
        <v>100</v>
      </c>
      <c r="X35" s="1121"/>
      <c r="Y35" s="3489"/>
      <c r="Z35" s="1122">
        <f t="shared" si="15"/>
        <v>111</v>
      </c>
      <c r="AA35" s="1117">
        <f t="shared" si="3"/>
        <v>1</v>
      </c>
      <c r="AB35" s="1117">
        <f t="shared" si="4"/>
        <v>1</v>
      </c>
      <c r="AC35" s="1117">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89"/>
      <c r="Q36" s="2598">
        <f t="shared" si="11"/>
        <v>111</v>
      </c>
      <c r="R36" s="1114" t="s">
        <v>61</v>
      </c>
      <c r="S36" s="1115">
        <f t="shared" si="12"/>
        <v>100</v>
      </c>
      <c r="T36" s="1114" t="s">
        <v>61</v>
      </c>
      <c r="U36" s="1115">
        <f t="shared" si="13"/>
        <v>100</v>
      </c>
      <c r="V36" s="1114" t="s">
        <v>61</v>
      </c>
      <c r="W36" s="1115">
        <f t="shared" si="14"/>
        <v>100</v>
      </c>
      <c r="X36" s="2599"/>
      <c r="Y36" s="3489"/>
      <c r="Z36" s="2601">
        <f t="shared" si="15"/>
        <v>111</v>
      </c>
      <c r="AA36" s="1117">
        <f t="shared" si="3"/>
        <v>1</v>
      </c>
      <c r="AB36" s="1117">
        <f t="shared" si="4"/>
        <v>1</v>
      </c>
      <c r="AC36" s="1117">
        <f t="shared" si="5"/>
        <v>1</v>
      </c>
    </row>
    <row r="37" spans="1:29" ht="15">
      <c r="A37" s="113" t="s">
        <v>2016</v>
      </c>
      <c r="B37" s="1901" t="s">
        <v>2863</v>
      </c>
      <c r="C37" s="2608" t="s">
        <v>20</v>
      </c>
      <c r="D37" s="2609"/>
      <c r="E37" s="2610"/>
      <c r="F37" s="2611"/>
      <c r="G37" s="2612"/>
      <c r="H37" s="2613"/>
      <c r="I37" s="2610"/>
      <c r="J37" s="2613"/>
      <c r="K37" s="821"/>
      <c r="L37" s="2631"/>
      <c r="M37" s="1097"/>
      <c r="N37" s="643"/>
      <c r="O37" s="1097"/>
      <c r="P37" s="3458" t="str">
        <f>A37</f>
        <v>成交单价</v>
      </c>
      <c r="Q37" s="3458"/>
      <c r="R37" s="3490">
        <f>E37</f>
        <v>0</v>
      </c>
      <c r="S37" s="3490"/>
      <c r="T37" s="3490">
        <f>G37</f>
        <v>0</v>
      </c>
      <c r="U37" s="3490"/>
      <c r="V37" s="3490">
        <f>I37</f>
        <v>0</v>
      </c>
      <c r="W37" s="3490"/>
      <c r="X37" s="1097"/>
      <c r="Y37" s="1123"/>
      <c r="Z37" s="1097"/>
      <c r="AA37" s="1097"/>
      <c r="AB37" s="1097"/>
      <c r="AC37" s="1097"/>
    </row>
    <row r="38" spans="1:29" ht="15.75" thickBot="1">
      <c r="A38" s="115" t="s">
        <v>2017</v>
      </c>
      <c r="B38" s="686" t="str">
        <f>B37</f>
        <v>元/平方米</v>
      </c>
      <c r="C38" s="2614" t="e">
        <f>R39</f>
        <v>#DIV/0!</v>
      </c>
      <c r="D38" s="2615"/>
      <c r="E38" s="2616" t="e">
        <f>R38</f>
        <v>#DIV/0!</v>
      </c>
      <c r="F38" s="2616"/>
      <c r="G38" s="2614" t="e">
        <f>T38</f>
        <v>#DIV/0!</v>
      </c>
      <c r="H38" s="2615"/>
      <c r="I38" s="2616" t="e">
        <f>V38</f>
        <v>#DIV/0!</v>
      </c>
      <c r="J38" s="2615"/>
      <c r="K38" s="822"/>
      <c r="L38" s="2631"/>
      <c r="M38" s="1097"/>
      <c r="N38" s="1097"/>
      <c r="O38" s="1097"/>
      <c r="P38" s="3458" t="str">
        <f>A38</f>
        <v>比较价值</v>
      </c>
      <c r="Q38" s="3458"/>
      <c r="R38" s="3490" t="e">
        <f>IF(E1="售价",ROUND(PRODUCT(R37,AA7:AA36),0),ROUND(PRODUCT(R37,AA7:AA36),1))</f>
        <v>#DIV/0!</v>
      </c>
      <c r="S38" s="3490"/>
      <c r="T38" s="3490" t="e">
        <f>IF(E1="售价",ROUND(PRODUCT(T37,AB7:AB36),0),ROUND(PRODUCT(T37,AB7:AB36),1))</f>
        <v>#DIV/0!</v>
      </c>
      <c r="U38" s="3490"/>
      <c r="V38" s="3490" t="e">
        <f>IF(E1="售价",ROUND(PRODUCT(V37,AC7:AC36),0),ROUND(PRODUCT(V37,AC7:AC36),1))</f>
        <v>#DIV/0!</v>
      </c>
      <c r="W38" s="3490"/>
      <c r="X38" s="1097"/>
      <c r="Y38" s="1097"/>
      <c r="Z38" s="1097"/>
      <c r="AA38" s="1097"/>
      <c r="AB38" s="1097"/>
      <c r="AC38" s="1097"/>
    </row>
    <row r="39" spans="1:29" ht="15.75" thickBot="1">
      <c r="A39" s="691" t="s">
        <v>2893</v>
      </c>
      <c r="B39" s="692"/>
      <c r="C39" s="2618" t="e">
        <f>R39</f>
        <v>#DIV/0!</v>
      </c>
      <c r="D39" s="2618"/>
      <c r="E39" s="2618"/>
      <c r="F39" s="2618"/>
      <c r="G39" s="2618"/>
      <c r="H39" s="2618"/>
      <c r="I39" s="2618"/>
      <c r="J39" s="2618"/>
      <c r="K39" s="823"/>
      <c r="L39" s="2631"/>
      <c r="M39" s="1097"/>
      <c r="N39" s="1097"/>
      <c r="O39" s="1097"/>
      <c r="P39" s="3491" t="str">
        <f>A39</f>
        <v>估价对象XX用房的比较价值（楼面单价，元/平方米）</v>
      </c>
      <c r="Q39" s="3492"/>
      <c r="R39" s="3493" t="e">
        <f>IF(E1="售价",ROUND(AVERAGE(R38:V38),0),ROUND(AVERAGE(R38:V38),1))</f>
        <v>#DIV/0!</v>
      </c>
      <c r="S39" s="3493"/>
      <c r="T39" s="3493"/>
      <c r="U39" s="3493"/>
      <c r="V39" s="3493"/>
      <c r="W39" s="3493"/>
      <c r="X39" s="1097"/>
      <c r="Y39" s="1097"/>
      <c r="Z39" s="1097"/>
      <c r="AA39" s="1097"/>
      <c r="AB39" s="1097"/>
      <c r="AC39" s="1097"/>
    </row>
    <row r="40" spans="1:29">
      <c r="A40" s="2218"/>
      <c r="B40" s="2218"/>
      <c r="C40" s="2218"/>
      <c r="D40" s="2218"/>
      <c r="E40" s="2218"/>
      <c r="F40" s="2218"/>
      <c r="G40" s="2222"/>
      <c r="H40" s="2218"/>
      <c r="I40" s="2218"/>
      <c r="J40" s="2218"/>
      <c r="K40" s="2223"/>
      <c r="L40" s="2632"/>
      <c r="M40" s="1097"/>
      <c r="N40" s="1097"/>
      <c r="O40" s="1097"/>
      <c r="P40" s="1097"/>
      <c r="Q40" s="1097"/>
      <c r="R40" s="1097"/>
      <c r="S40" s="1097"/>
      <c r="T40" s="1097"/>
      <c r="U40" s="1097"/>
      <c r="V40" s="1097"/>
      <c r="W40" s="1097"/>
      <c r="X40" s="1097"/>
      <c r="Y40" s="1097"/>
      <c r="Z40" s="1097"/>
      <c r="AA40" s="1097"/>
      <c r="AB40" s="1097"/>
      <c r="AC40" s="1097"/>
    </row>
    <row r="41" spans="1:29">
      <c r="A41" s="2218"/>
      <c r="B41" s="2218"/>
      <c r="C41" s="2218"/>
      <c r="D41" s="2218"/>
      <c r="E41" s="2218"/>
      <c r="F41" s="2218"/>
      <c r="G41" s="2218"/>
      <c r="H41" s="2218"/>
      <c r="I41" s="2218"/>
      <c r="J41" s="2218"/>
      <c r="K41" s="2223"/>
      <c r="L41" s="2632"/>
      <c r="M41" s="1097"/>
      <c r="N41" s="1097"/>
      <c r="O41" s="1097"/>
      <c r="P41" s="1097"/>
      <c r="Q41" s="1097"/>
      <c r="R41" s="1097"/>
      <c r="S41" s="1097"/>
      <c r="T41" s="1097"/>
      <c r="U41" s="1097"/>
      <c r="V41" s="1097"/>
      <c r="W41" s="1097"/>
      <c r="X41" s="1097"/>
      <c r="Y41" s="1097"/>
      <c r="Z41" s="1097"/>
      <c r="AA41" s="1097"/>
      <c r="AB41" s="1097"/>
      <c r="AC41" s="1097"/>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7"/>
      <c r="N42" s="1097"/>
      <c r="O42" s="1097"/>
      <c r="P42" s="1097"/>
      <c r="Q42" s="1097"/>
      <c r="R42" s="1097"/>
      <c r="S42" s="1097"/>
      <c r="T42" s="1097"/>
      <c r="U42" s="1097"/>
      <c r="V42" s="1097"/>
      <c r="W42" s="1097"/>
      <c r="X42" s="1097"/>
      <c r="Y42" s="1097"/>
      <c r="Z42" s="1097"/>
      <c r="AA42" s="1097"/>
      <c r="AB42" s="1097"/>
      <c r="AC42" s="1097"/>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7"/>
      <c r="N43" s="1097"/>
      <c r="O43" s="1097"/>
      <c r="P43" s="1097"/>
      <c r="Q43" s="1097"/>
      <c r="R43" s="1097"/>
      <c r="S43" s="1097"/>
      <c r="T43" s="1097"/>
      <c r="U43" s="1097"/>
      <c r="V43" s="1097"/>
      <c r="W43" s="1097"/>
      <c r="X43" s="1097"/>
      <c r="Y43" s="1097"/>
      <c r="Z43" s="1097"/>
      <c r="AA43" s="1097"/>
      <c r="AB43" s="1097"/>
      <c r="AC43" s="1097"/>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099"/>
      <c r="N44" s="1099"/>
      <c r="O44" s="1099"/>
      <c r="P44" s="1099"/>
      <c r="Q44" s="1099"/>
      <c r="R44" s="1099"/>
      <c r="S44" s="1099"/>
      <c r="T44" s="1099"/>
      <c r="U44" s="1099"/>
      <c r="V44" s="1099"/>
      <c r="W44" s="1099"/>
      <c r="X44" s="1099"/>
      <c r="Y44" s="1099"/>
      <c r="Z44" s="1099"/>
      <c r="AA44" s="1099"/>
      <c r="AB44" s="1099"/>
      <c r="AC44" s="1099"/>
    </row>
    <row r="45" spans="1:29" s="701" customFormat="1">
      <c r="A45" s="2220"/>
      <c r="B45" s="2221"/>
      <c r="C45" s="2226"/>
      <c r="D45" s="2220"/>
      <c r="E45" s="2220"/>
      <c r="F45" s="2220"/>
      <c r="G45" s="2220"/>
      <c r="H45" s="2220"/>
      <c r="I45" s="2220"/>
      <c r="J45" s="2220"/>
      <c r="K45" s="2224"/>
      <c r="L45" s="2633"/>
      <c r="M45" s="1099"/>
      <c r="N45" s="1099"/>
      <c r="O45" s="1099"/>
      <c r="P45" s="1099"/>
      <c r="Q45" s="1099"/>
      <c r="R45" s="1099"/>
      <c r="S45" s="1099"/>
      <c r="T45" s="1099"/>
      <c r="U45" s="1099"/>
      <c r="V45" s="1099"/>
      <c r="W45" s="1099"/>
      <c r="X45" s="1099"/>
      <c r="Y45" s="1099"/>
      <c r="Z45" s="1099"/>
      <c r="AA45" s="1099"/>
      <c r="AB45" s="1099"/>
      <c r="AC45" s="1099"/>
    </row>
    <row r="46" spans="1:29">
      <c r="A46" s="2218"/>
      <c r="B46" s="2221"/>
      <c r="C46" s="2226"/>
      <c r="D46" s="2218"/>
      <c r="E46" s="2218"/>
      <c r="F46" s="2218"/>
      <c r="G46" s="2218"/>
      <c r="H46" s="2218"/>
      <c r="I46" s="2218"/>
      <c r="J46" s="2218"/>
      <c r="K46" s="2223"/>
      <c r="L46" s="2632"/>
      <c r="M46" s="1097"/>
      <c r="N46" s="1097"/>
      <c r="O46" s="1097"/>
      <c r="P46" s="1097"/>
      <c r="Q46" s="1097"/>
      <c r="R46" s="1097"/>
      <c r="S46" s="1097"/>
      <c r="T46" s="1097"/>
      <c r="U46" s="1097"/>
      <c r="V46" s="1097"/>
      <c r="W46" s="1097"/>
      <c r="X46" s="1097"/>
      <c r="Y46" s="1097"/>
      <c r="Z46" s="1097"/>
      <c r="AA46" s="1097"/>
      <c r="AB46" s="1097"/>
      <c r="AC46" s="1097"/>
    </row>
    <row r="47" spans="1:29" ht="21.75" thickBot="1">
      <c r="A47" s="2635" t="s">
        <v>429</v>
      </c>
      <c r="B47" s="2218"/>
      <c r="C47" s="2234"/>
      <c r="D47" s="2234"/>
      <c r="E47" s="2234"/>
      <c r="F47" s="2636"/>
      <c r="G47" s="2636"/>
      <c r="H47" s="2234"/>
      <c r="I47" s="2234"/>
      <c r="J47" s="2234"/>
      <c r="K47" s="2232"/>
      <c r="L47" s="1105"/>
      <c r="M47" s="1102"/>
      <c r="N47" s="1102"/>
      <c r="O47" s="1102"/>
      <c r="P47" s="1102"/>
      <c r="Q47" s="2634"/>
      <c r="R47" s="1097"/>
      <c r="S47" s="1097"/>
      <c r="T47" s="1097"/>
      <c r="U47" s="1097"/>
      <c r="V47" s="1097"/>
      <c r="W47" s="1097"/>
      <c r="X47" s="1097"/>
      <c r="Y47" s="1097"/>
      <c r="Z47" s="1097"/>
      <c r="AA47" s="1097"/>
      <c r="AB47" s="1097"/>
      <c r="AC47" s="1097"/>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459</v>
      </c>
      <c r="B3" s="811" t="e">
        <f ca="1">ROUND(IF(D2="——",C37,IF(C2="万元",B2*10000/D3,B2/D3)),0)</f>
        <v>#DIV/0!</v>
      </c>
      <c r="C3" s="597" t="s">
        <v>460</v>
      </c>
      <c r="D3" s="596">
        <f>IF(C1="仅计算典型户型",'数据-取费表'!E5,'数据-取费表'!B5)</f>
        <v>255.46</v>
      </c>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461</v>
      </c>
      <c r="B4" s="599"/>
      <c r="C4" s="3466" t="s">
        <v>462</v>
      </c>
      <c r="D4" s="3467"/>
      <c r="E4" s="3468" t="s">
        <v>463</v>
      </c>
      <c r="F4" s="3469"/>
      <c r="G4" s="3466" t="s">
        <v>464</v>
      </c>
      <c r="H4" s="3467"/>
      <c r="I4" s="3466" t="s">
        <v>465</v>
      </c>
      <c r="J4" s="3467"/>
      <c r="K4" s="812" t="s">
        <v>466</v>
      </c>
      <c r="L4" s="2204"/>
      <c r="M4" s="2205"/>
      <c r="N4" s="2205"/>
      <c r="O4" s="2205"/>
      <c r="P4" s="3470" t="s">
        <v>467</v>
      </c>
      <c r="Q4" s="3471"/>
      <c r="R4" s="3476" t="s">
        <v>463</v>
      </c>
      <c r="S4" s="3477"/>
      <c r="T4" s="3476" t="s">
        <v>464</v>
      </c>
      <c r="U4" s="3477"/>
      <c r="V4" s="3482" t="s">
        <v>465</v>
      </c>
      <c r="W4" s="3482"/>
      <c r="X4" s="1108"/>
      <c r="Y4" s="3476" t="s">
        <v>467</v>
      </c>
      <c r="Z4" s="3477"/>
      <c r="AA4" s="3463" t="s">
        <v>463</v>
      </c>
      <c r="AB4" s="3464" t="s">
        <v>464</v>
      </c>
      <c r="AC4" s="3463" t="s">
        <v>465</v>
      </c>
    </row>
    <row r="5" spans="1:29" ht="15">
      <c r="A5" s="601"/>
      <c r="B5" s="602"/>
      <c r="C5" s="3420" t="s">
        <v>1044</v>
      </c>
      <c r="D5" s="3421"/>
      <c r="E5" s="3418" t="s">
        <v>1045</v>
      </c>
      <c r="F5" s="3419"/>
      <c r="G5" s="3420" t="s">
        <v>57</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29"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29" s="218" customFormat="1" ht="15.75" thickBot="1">
      <c r="A7" s="605" t="s">
        <v>412</v>
      </c>
      <c r="B7" s="606"/>
      <c r="C7" s="607">
        <f>'数据-取费表'!B2</f>
        <v>42998</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61" t="s">
        <v>413</v>
      </c>
      <c r="Q7" s="3485"/>
      <c r="R7" s="1109" t="s">
        <v>61</v>
      </c>
      <c r="S7" s="1110">
        <f t="shared" ref="S7:S14" si="0">F7</f>
        <v>0</v>
      </c>
      <c r="T7" s="1109" t="s">
        <v>61</v>
      </c>
      <c r="U7" s="1110">
        <f t="shared" ref="U7:U14" si="1">H7</f>
        <v>0</v>
      </c>
      <c r="V7" s="1109" t="s">
        <v>61</v>
      </c>
      <c r="W7" s="1110">
        <f t="shared" ref="W7:W14" si="2">J7</f>
        <v>0</v>
      </c>
      <c r="X7" s="1111"/>
      <c r="Y7" s="3461" t="s">
        <v>413</v>
      </c>
      <c r="Z7" s="3462"/>
      <c r="AA7" s="1112" t="e">
        <f>D7/F7</f>
        <v>#DIV/0!</v>
      </c>
      <c r="AB7" s="1112" t="e">
        <f>D7/H7</f>
        <v>#DIV/0!</v>
      </c>
      <c r="AC7" s="1112"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34" si="3">D8/F8</f>
        <v>#DIV/0!</v>
      </c>
      <c r="AB8" s="1112" t="e">
        <f t="shared" ref="AB8:AB34" si="4">D8/H8</f>
        <v>#DIV/0!</v>
      </c>
      <c r="AC8" s="1112" t="e">
        <f t="shared" ref="AC8:AC34" si="5">D8/J8</f>
        <v>#DIV/0!</v>
      </c>
    </row>
    <row r="9" spans="1:29" s="218" customFormat="1">
      <c r="A9" s="613" t="s">
        <v>415</v>
      </c>
      <c r="B9" s="211" t="s">
        <v>433</v>
      </c>
      <c r="C9" s="1138"/>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58" t="s">
        <v>416</v>
      </c>
      <c r="Q9" s="192" t="str">
        <f t="shared" ref="Q9:Q14" si="6">B9</f>
        <v>用途</v>
      </c>
      <c r="R9" s="1109" t="s">
        <v>61</v>
      </c>
      <c r="S9" s="1110">
        <f t="shared" si="0"/>
        <v>100</v>
      </c>
      <c r="T9" s="1109" t="s">
        <v>61</v>
      </c>
      <c r="U9" s="1110">
        <f t="shared" si="1"/>
        <v>100</v>
      </c>
      <c r="V9" s="1109" t="s">
        <v>61</v>
      </c>
      <c r="W9" s="1110">
        <f t="shared" si="2"/>
        <v>100</v>
      </c>
      <c r="X9" s="1111"/>
      <c r="Y9" s="3300" t="s">
        <v>417</v>
      </c>
      <c r="Z9" s="206" t="str">
        <f t="shared" ref="Z9:Z14" si="7">Q9</f>
        <v>用途</v>
      </c>
      <c r="AA9" s="1112">
        <f t="shared" si="3"/>
        <v>1</v>
      </c>
      <c r="AB9" s="1112">
        <f t="shared" si="4"/>
        <v>1</v>
      </c>
      <c r="AC9" s="1112">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58"/>
      <c r="Q10" s="192" t="str">
        <f t="shared" si="6"/>
        <v>土地使用年限（年）</v>
      </c>
      <c r="R10" s="1109" t="s">
        <v>61</v>
      </c>
      <c r="S10" s="1110">
        <f t="shared" si="0"/>
        <v>100</v>
      </c>
      <c r="T10" s="1109" t="s">
        <v>61</v>
      </c>
      <c r="U10" s="1110">
        <f t="shared" si="1"/>
        <v>100</v>
      </c>
      <c r="V10" s="1109" t="s">
        <v>61</v>
      </c>
      <c r="W10" s="1110">
        <f t="shared" si="2"/>
        <v>100</v>
      </c>
      <c r="X10" s="1111"/>
      <c r="Y10" s="3300"/>
      <c r="Z10" s="206" t="str">
        <f t="shared" si="7"/>
        <v>土地使用年限（年）</v>
      </c>
      <c r="AA10" s="1112">
        <f t="shared" si="3"/>
        <v>1</v>
      </c>
      <c r="AB10" s="1112">
        <f t="shared" si="4"/>
        <v>1</v>
      </c>
      <c r="AC10" s="1112">
        <f t="shared" si="5"/>
        <v>1</v>
      </c>
    </row>
    <row r="11" spans="1:29" ht="15">
      <c r="A11" s="626"/>
      <c r="B11" s="889">
        <v>111</v>
      </c>
      <c r="C11" s="882"/>
      <c r="D11" s="235">
        <v>100</v>
      </c>
      <c r="E11" s="1151"/>
      <c r="F11" s="235">
        <f>SUMIF(55:55,E11,56:56)-SUMIF(55:55,C11,56:56)+100</f>
        <v>100</v>
      </c>
      <c r="G11" s="1151"/>
      <c r="H11" s="235">
        <f>SUMIF(55:55,G11,56:56)-SUMIF(55:55,C11,56:56)+100</f>
        <v>100</v>
      </c>
      <c r="I11" s="1151"/>
      <c r="J11" s="235">
        <f>SUMIF(55:55,I11,56:56)-SUMIF(55:55,C11,56:56)+100</f>
        <v>100</v>
      </c>
      <c r="K11" s="815"/>
      <c r="L11" s="2212"/>
      <c r="M11" s="2205"/>
      <c r="N11" s="2205"/>
      <c r="O11" s="2213"/>
      <c r="P11" s="3458"/>
      <c r="Q11" s="192">
        <f t="shared" si="6"/>
        <v>111</v>
      </c>
      <c r="R11" s="1109" t="s">
        <v>61</v>
      </c>
      <c r="S11" s="1110">
        <f t="shared" si="0"/>
        <v>100</v>
      </c>
      <c r="T11" s="1109" t="s">
        <v>61</v>
      </c>
      <c r="U11" s="1110">
        <f t="shared" si="1"/>
        <v>100</v>
      </c>
      <c r="V11" s="1109" t="s">
        <v>61</v>
      </c>
      <c r="W11" s="1110">
        <f t="shared" si="2"/>
        <v>100</v>
      </c>
      <c r="X11" s="1111"/>
      <c r="Y11" s="3300"/>
      <c r="Z11" s="206">
        <f t="shared" si="7"/>
        <v>111</v>
      </c>
      <c r="AA11" s="1112">
        <f t="shared" si="3"/>
        <v>1</v>
      </c>
      <c r="AB11" s="1112">
        <f t="shared" si="4"/>
        <v>1</v>
      </c>
      <c r="AC11" s="1112">
        <f t="shared" si="5"/>
        <v>1</v>
      </c>
    </row>
    <row r="12" spans="1:29" s="218" customFormat="1" ht="15">
      <c r="A12" s="629"/>
      <c r="B12" s="889">
        <v>111</v>
      </c>
      <c r="C12" s="882"/>
      <c r="D12" s="631">
        <v>100</v>
      </c>
      <c r="E12" s="1151"/>
      <c r="F12" s="235">
        <f>SUMIF(57:57,E12,58:58)-SUMIF(57:57,C12,58:58)+100</f>
        <v>100</v>
      </c>
      <c r="G12" s="1151"/>
      <c r="H12" s="235">
        <f>SUMIF(57:57,G12,58:58)-SUMIF(57:57,C12,58:58)+100</f>
        <v>100</v>
      </c>
      <c r="I12" s="1151"/>
      <c r="J12" s="235">
        <f>SUMIF(57:57,I12,58:58)-SUMIF(57:57,C12,58:58)+100</f>
        <v>100</v>
      </c>
      <c r="K12" s="815"/>
      <c r="L12" s="2206"/>
      <c r="M12" s="2207"/>
      <c r="N12" s="2207"/>
      <c r="O12" s="2208"/>
      <c r="P12" s="3458"/>
      <c r="Q12" s="192">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75" thickBot="1">
      <c r="A13" s="626"/>
      <c r="B13" s="889">
        <v>111</v>
      </c>
      <c r="C13" s="40"/>
      <c r="D13" s="633">
        <v>100</v>
      </c>
      <c r="E13" s="1151"/>
      <c r="F13" s="235">
        <f>SUMIF(59:59,E13,60:60)-SUMIF(59:59,C13,60:60)+100</f>
        <v>100</v>
      </c>
      <c r="G13" s="1151"/>
      <c r="H13" s="633">
        <f>SUMIF(59:59,G13,60:60)-SUMIF(59:59,C13,60:60)+100</f>
        <v>100</v>
      </c>
      <c r="I13" s="1151"/>
      <c r="J13" s="633">
        <f>SUMIF(59:59,I13,60:60)-SUMIF(59:59,C13,60:60)+100</f>
        <v>100</v>
      </c>
      <c r="K13" s="815"/>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86" t="s">
        <v>421</v>
      </c>
      <c r="Q14" s="1113" t="str">
        <f t="shared" si="6"/>
        <v>交通便捷度</v>
      </c>
      <c r="R14" s="1114" t="s">
        <v>61</v>
      </c>
      <c r="S14" s="1115">
        <f t="shared" si="0"/>
        <v>100</v>
      </c>
      <c r="T14" s="1114" t="s">
        <v>61</v>
      </c>
      <c r="U14" s="1115">
        <f t="shared" si="1"/>
        <v>100</v>
      </c>
      <c r="V14" s="1114" t="s">
        <v>61</v>
      </c>
      <c r="W14" s="1115">
        <f t="shared" si="2"/>
        <v>100</v>
      </c>
      <c r="X14" s="1108"/>
      <c r="Y14" s="3486" t="s">
        <v>421</v>
      </c>
      <c r="Z14" s="1116" t="str">
        <f t="shared" si="7"/>
        <v>交通便捷度</v>
      </c>
      <c r="AA14" s="1117">
        <f t="shared" si="3"/>
        <v>1</v>
      </c>
      <c r="AB14" s="1117">
        <f t="shared" si="4"/>
        <v>1</v>
      </c>
      <c r="AC14" s="1117">
        <f t="shared" si="5"/>
        <v>1</v>
      </c>
    </row>
    <row r="15" spans="1:29" ht="15">
      <c r="A15" s="626"/>
      <c r="B15" s="643"/>
      <c r="C15" s="644"/>
      <c r="D15" s="645"/>
      <c r="E15" s="644"/>
      <c r="F15" s="647"/>
      <c r="G15" s="644"/>
      <c r="H15" s="648"/>
      <c r="I15" s="644"/>
      <c r="J15" s="645"/>
      <c r="K15" s="817"/>
      <c r="L15" s="2214"/>
      <c r="M15" s="2205"/>
      <c r="N15" s="2205"/>
      <c r="O15" s="2213"/>
      <c r="P15" s="3487"/>
      <c r="Q15" s="1113"/>
      <c r="R15" s="1114"/>
      <c r="S15" s="1115"/>
      <c r="T15" s="1114"/>
      <c r="U15" s="1115"/>
      <c r="V15" s="1114"/>
      <c r="W15" s="1115"/>
      <c r="X15" s="1108"/>
      <c r="Y15" s="3487"/>
      <c r="Z15" s="1116"/>
      <c r="AA15" s="1117">
        <v>1</v>
      </c>
      <c r="AB15" s="1117">
        <v>1</v>
      </c>
      <c r="AC15" s="1117">
        <v>1</v>
      </c>
    </row>
    <row r="16" spans="1:29" ht="40.5">
      <c r="A16" s="626"/>
      <c r="B16" s="892" t="s">
        <v>2553</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87"/>
      <c r="Q16" s="1113" t="str">
        <f>B16</f>
        <v>公共配套设施</v>
      </c>
      <c r="R16" s="1114" t="s">
        <v>61</v>
      </c>
      <c r="S16" s="1115">
        <f>F16</f>
        <v>100</v>
      </c>
      <c r="T16" s="1114" t="s">
        <v>61</v>
      </c>
      <c r="U16" s="1115">
        <f>H16</f>
        <v>100</v>
      </c>
      <c r="V16" s="1114" t="s">
        <v>61</v>
      </c>
      <c r="W16" s="1115">
        <f>J16</f>
        <v>100</v>
      </c>
      <c r="X16" s="1108"/>
      <c r="Y16" s="3487"/>
      <c r="Z16" s="1116" t="str">
        <f>Q16</f>
        <v>公共配套设施</v>
      </c>
      <c r="AA16" s="1117">
        <f t="shared" si="3"/>
        <v>1</v>
      </c>
      <c r="AB16" s="1117">
        <f t="shared" si="4"/>
        <v>1</v>
      </c>
      <c r="AC16" s="1117">
        <f t="shared" si="5"/>
        <v>1</v>
      </c>
    </row>
    <row r="17" spans="1:29" ht="15">
      <c r="A17" s="626"/>
      <c r="B17" s="893"/>
      <c r="C17" s="655"/>
      <c r="D17" s="645"/>
      <c r="E17" s="644"/>
      <c r="F17" s="647"/>
      <c r="G17" s="644"/>
      <c r="H17" s="645"/>
      <c r="I17" s="644"/>
      <c r="J17" s="645"/>
      <c r="K17" s="817"/>
      <c r="L17" s="2214"/>
      <c r="M17" s="2205"/>
      <c r="N17" s="2205"/>
      <c r="O17" s="2213"/>
      <c r="P17" s="3487"/>
      <c r="Q17" s="1113"/>
      <c r="R17" s="1114"/>
      <c r="S17" s="1115"/>
      <c r="T17" s="1114"/>
      <c r="U17" s="1115"/>
      <c r="V17" s="1114"/>
      <c r="W17" s="1115"/>
      <c r="X17" s="1108"/>
      <c r="Y17" s="3487"/>
      <c r="Z17" s="1116"/>
      <c r="AA17" s="1117">
        <v>1</v>
      </c>
      <c r="AB17" s="1117">
        <v>1</v>
      </c>
      <c r="AC17" s="1117">
        <v>1</v>
      </c>
    </row>
    <row r="18" spans="1:29" ht="40.5">
      <c r="A18" s="626"/>
      <c r="B18" s="894" t="s">
        <v>2554</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87"/>
      <c r="Q18" s="2549" t="str">
        <f>B18</f>
        <v>基础设施水平</v>
      </c>
      <c r="R18" s="1114" t="s">
        <v>61</v>
      </c>
      <c r="S18" s="1115">
        <f>F18</f>
        <v>100</v>
      </c>
      <c r="T18" s="1114" t="s">
        <v>61</v>
      </c>
      <c r="U18" s="1115">
        <f>H18</f>
        <v>100</v>
      </c>
      <c r="V18" s="1114" t="s">
        <v>61</v>
      </c>
      <c r="W18" s="1115">
        <f>J18</f>
        <v>100</v>
      </c>
      <c r="X18" s="2550"/>
      <c r="Y18" s="3487"/>
      <c r="Z18" s="2551" t="str">
        <f>Q18</f>
        <v>基础设施水平</v>
      </c>
      <c r="AA18" s="1117">
        <f t="shared" ref="AA18" si="8">D18/F18</f>
        <v>1</v>
      </c>
      <c r="AB18" s="1117">
        <f t="shared" ref="AB18" si="9">D18/H18</f>
        <v>1</v>
      </c>
      <c r="AC18" s="1117">
        <f t="shared" ref="AC18" si="10">D18/J18</f>
        <v>1</v>
      </c>
    </row>
    <row r="19" spans="1:29" ht="15">
      <c r="A19" s="626"/>
      <c r="B19" s="894"/>
      <c r="C19" s="655"/>
      <c r="D19" s="645"/>
      <c r="E19" s="655"/>
      <c r="F19" s="651"/>
      <c r="G19" s="655"/>
      <c r="H19" s="645"/>
      <c r="I19" s="644"/>
      <c r="J19" s="645"/>
      <c r="K19" s="2561"/>
      <c r="L19" s="2214"/>
      <c r="M19" s="2205"/>
      <c r="N19" s="2205"/>
      <c r="O19" s="2213"/>
      <c r="P19" s="3487"/>
      <c r="Q19" s="2549"/>
      <c r="R19" s="1114"/>
      <c r="S19" s="1115"/>
      <c r="T19" s="1114"/>
      <c r="U19" s="1115"/>
      <c r="V19" s="1114"/>
      <c r="W19" s="1115"/>
      <c r="X19" s="2550"/>
      <c r="Y19" s="3487"/>
      <c r="Z19" s="2551"/>
      <c r="AA19" s="1117">
        <v>1</v>
      </c>
      <c r="AB19" s="1117">
        <v>1</v>
      </c>
      <c r="AC19" s="1117">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87"/>
      <c r="Q20" s="1113" t="str">
        <f>B20</f>
        <v>自然及人文环境</v>
      </c>
      <c r="R20" s="1114" t="s">
        <v>61</v>
      </c>
      <c r="S20" s="1115">
        <f>F20</f>
        <v>100</v>
      </c>
      <c r="T20" s="1114" t="s">
        <v>61</v>
      </c>
      <c r="U20" s="1115">
        <f>H20</f>
        <v>100</v>
      </c>
      <c r="V20" s="1114" t="s">
        <v>61</v>
      </c>
      <c r="W20" s="1115">
        <f>J20</f>
        <v>100</v>
      </c>
      <c r="X20" s="1108"/>
      <c r="Y20" s="3487"/>
      <c r="Z20" s="1116" t="str">
        <f>Q20</f>
        <v>自然及人文环境</v>
      </c>
      <c r="AA20" s="1117">
        <f t="shared" si="3"/>
        <v>1</v>
      </c>
      <c r="AB20" s="1117">
        <f t="shared" si="4"/>
        <v>1</v>
      </c>
      <c r="AC20" s="1117">
        <f t="shared" si="5"/>
        <v>1</v>
      </c>
    </row>
    <row r="21" spans="1:29" ht="15">
      <c r="A21" s="626"/>
      <c r="B21" s="654"/>
      <c r="C21" s="644"/>
      <c r="D21" s="645"/>
      <c r="E21" s="644"/>
      <c r="F21" s="647"/>
      <c r="G21" s="644"/>
      <c r="H21" s="645"/>
      <c r="I21" s="644"/>
      <c r="J21" s="645"/>
      <c r="K21" s="817"/>
      <c r="L21" s="2214"/>
      <c r="M21" s="2205"/>
      <c r="N21" s="2205"/>
      <c r="O21" s="2213"/>
      <c r="P21" s="3487"/>
      <c r="Q21" s="1113"/>
      <c r="R21" s="1114"/>
      <c r="S21" s="1115"/>
      <c r="T21" s="1114"/>
      <c r="U21" s="1115"/>
      <c r="V21" s="1114"/>
      <c r="W21" s="1115"/>
      <c r="X21" s="1108"/>
      <c r="Y21" s="3487"/>
      <c r="Z21" s="1116"/>
      <c r="AA21" s="1117">
        <v>1</v>
      </c>
      <c r="AB21" s="1117">
        <v>1</v>
      </c>
      <c r="AC21" s="1117">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87"/>
      <c r="Q22" s="1113" t="str">
        <f>B22</f>
        <v>楼层</v>
      </c>
      <c r="R22" s="1114" t="s">
        <v>61</v>
      </c>
      <c r="S22" s="1115">
        <f>F22</f>
        <v>100</v>
      </c>
      <c r="T22" s="1114" t="s">
        <v>61</v>
      </c>
      <c r="U22" s="1115">
        <f>H22</f>
        <v>100</v>
      </c>
      <c r="V22" s="1114" t="s">
        <v>61</v>
      </c>
      <c r="W22" s="1115">
        <f>J22</f>
        <v>100</v>
      </c>
      <c r="X22" s="1108"/>
      <c r="Y22" s="3487"/>
      <c r="Z22" s="1116" t="str">
        <f>Q22</f>
        <v>楼层</v>
      </c>
      <c r="AA22" s="1117">
        <f t="shared" si="3"/>
        <v>1</v>
      </c>
      <c r="AB22" s="1117">
        <f t="shared" si="4"/>
        <v>1</v>
      </c>
      <c r="AC22" s="1117">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87"/>
      <c r="Q23" s="1113">
        <f>B23</f>
        <v>111</v>
      </c>
      <c r="R23" s="1114" t="s">
        <v>61</v>
      </c>
      <c r="S23" s="1115">
        <f>F23</f>
        <v>100</v>
      </c>
      <c r="T23" s="1114" t="s">
        <v>61</v>
      </c>
      <c r="U23" s="1115">
        <f>H23</f>
        <v>100</v>
      </c>
      <c r="V23" s="1114" t="s">
        <v>61</v>
      </c>
      <c r="W23" s="1115">
        <f>J23</f>
        <v>100</v>
      </c>
      <c r="X23" s="1108"/>
      <c r="Y23" s="3487"/>
      <c r="Z23" s="1116">
        <f>Q23</f>
        <v>111</v>
      </c>
      <c r="AA23" s="1117">
        <f t="shared" si="3"/>
        <v>1</v>
      </c>
      <c r="AB23" s="1117">
        <f t="shared" si="4"/>
        <v>1</v>
      </c>
      <c r="AC23" s="1117">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87"/>
      <c r="Q24" s="1113">
        <f t="shared" ref="Q24:Q34" si="11">B24</f>
        <v>111</v>
      </c>
      <c r="R24" s="1114" t="s">
        <v>61</v>
      </c>
      <c r="S24" s="1115">
        <f>F24</f>
        <v>100</v>
      </c>
      <c r="T24" s="1114" t="s">
        <v>61</v>
      </c>
      <c r="U24" s="1115">
        <f>H24</f>
        <v>100</v>
      </c>
      <c r="V24" s="1114" t="s">
        <v>61</v>
      </c>
      <c r="W24" s="1115">
        <f>J24</f>
        <v>100</v>
      </c>
      <c r="X24" s="1108"/>
      <c r="Y24" s="3487"/>
      <c r="Z24" s="1116">
        <f>Q24</f>
        <v>111</v>
      </c>
      <c r="AA24" s="1117">
        <f t="shared" si="3"/>
        <v>1</v>
      </c>
      <c r="AB24" s="1117">
        <f t="shared" si="4"/>
        <v>1</v>
      </c>
      <c r="AC24" s="1117">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87"/>
      <c r="Q25" s="192">
        <f t="shared" si="11"/>
        <v>111</v>
      </c>
      <c r="R25" s="1109" t="s">
        <v>61</v>
      </c>
      <c r="S25" s="1110">
        <f>F25</f>
        <v>100</v>
      </c>
      <c r="T25" s="1109" t="s">
        <v>61</v>
      </c>
      <c r="U25" s="1110">
        <f>H25</f>
        <v>100</v>
      </c>
      <c r="V25" s="1109" t="s">
        <v>61</v>
      </c>
      <c r="W25" s="1110">
        <f>J25</f>
        <v>100</v>
      </c>
      <c r="X25" s="1111"/>
      <c r="Y25" s="3487"/>
      <c r="Z25" s="206">
        <f>Q25</f>
        <v>111</v>
      </c>
      <c r="AA25" s="1117">
        <f>D25/F25</f>
        <v>1</v>
      </c>
      <c r="AB25" s="1117">
        <f>D25/H25</f>
        <v>1</v>
      </c>
      <c r="AC25" s="1117">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88" t="s">
        <v>486</v>
      </c>
      <c r="Q26" s="1113" t="str">
        <f t="shared" si="11"/>
        <v>公共部分装修</v>
      </c>
      <c r="R26" s="1114" t="s">
        <v>61</v>
      </c>
      <c r="S26" s="1115">
        <f t="shared" ref="S26:S34" si="12">F26</f>
        <v>100</v>
      </c>
      <c r="T26" s="1114" t="s">
        <v>61</v>
      </c>
      <c r="U26" s="1115">
        <f t="shared" ref="U26:U34" si="13">H26</f>
        <v>100</v>
      </c>
      <c r="V26" s="1114" t="s">
        <v>61</v>
      </c>
      <c r="W26" s="1115">
        <f t="shared" ref="W26:W34" si="14">J26</f>
        <v>100</v>
      </c>
      <c r="X26" s="1108"/>
      <c r="Y26" s="3489" t="s">
        <v>486</v>
      </c>
      <c r="Z26" s="1116" t="str">
        <f t="shared" ref="Z26:Z34" si="15">Q26</f>
        <v>公共部分装修</v>
      </c>
      <c r="AA26" s="1117">
        <f t="shared" si="3"/>
        <v>1</v>
      </c>
      <c r="AB26" s="1117">
        <f t="shared" si="4"/>
        <v>1</v>
      </c>
      <c r="AC26" s="1117">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89"/>
      <c r="Q27" s="1118" t="str">
        <f t="shared" si="11"/>
        <v>成新率</v>
      </c>
      <c r="R27" s="1119" t="s">
        <v>61</v>
      </c>
      <c r="S27" s="1120" t="e">
        <f t="shared" si="12"/>
        <v>#N/A</v>
      </c>
      <c r="T27" s="1119" t="s">
        <v>61</v>
      </c>
      <c r="U27" s="1120" t="e">
        <f t="shared" si="13"/>
        <v>#N/A</v>
      </c>
      <c r="V27" s="1119" t="s">
        <v>61</v>
      </c>
      <c r="W27" s="1120" t="e">
        <f t="shared" si="14"/>
        <v>#N/A</v>
      </c>
      <c r="X27" s="1121"/>
      <c r="Y27" s="3489"/>
      <c r="Z27" s="1122" t="str">
        <f t="shared" si="15"/>
        <v>成新率</v>
      </c>
      <c r="AA27" s="1117" t="e">
        <f t="shared" si="3"/>
        <v>#N/A</v>
      </c>
      <c r="AB27" s="1117" t="e">
        <f t="shared" si="4"/>
        <v>#N/A</v>
      </c>
      <c r="AC27" s="1117"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89"/>
      <c r="Q28" s="1113" t="str">
        <f t="shared" si="11"/>
        <v>物业等级</v>
      </c>
      <c r="R28" s="1114" t="s">
        <v>61</v>
      </c>
      <c r="S28" s="1115">
        <f t="shared" si="12"/>
        <v>100</v>
      </c>
      <c r="T28" s="1114" t="s">
        <v>61</v>
      </c>
      <c r="U28" s="1115">
        <f t="shared" si="13"/>
        <v>100</v>
      </c>
      <c r="V28" s="1114" t="s">
        <v>61</v>
      </c>
      <c r="W28" s="1115">
        <f t="shared" si="14"/>
        <v>100</v>
      </c>
      <c r="X28" s="1108"/>
      <c r="Y28" s="3489"/>
      <c r="Z28" s="1116" t="str">
        <f t="shared" si="15"/>
        <v>物业等级</v>
      </c>
      <c r="AA28" s="1117">
        <f t="shared" si="3"/>
        <v>1</v>
      </c>
      <c r="AB28" s="1117">
        <f t="shared" si="4"/>
        <v>1</v>
      </c>
      <c r="AC28" s="1117">
        <f t="shared" si="5"/>
        <v>1</v>
      </c>
    </row>
    <row r="29" spans="1:29" ht="15">
      <c r="A29" s="671"/>
      <c r="B29" s="620" t="s">
        <v>487</v>
      </c>
      <c r="C29" s="1205"/>
      <c r="D29" s="633">
        <v>100</v>
      </c>
      <c r="E29" s="1205"/>
      <c r="F29" s="660">
        <f>SUMIF(84:84,E29,85:85)-SUMIF(84:84,C29,85:85)+100</f>
        <v>100</v>
      </c>
      <c r="G29" s="1205"/>
      <c r="H29" s="633">
        <f>SUMIF(84:84,G29,85:85)-SUMIF(84:84,C29,85:85)+100</f>
        <v>100</v>
      </c>
      <c r="I29" s="1205"/>
      <c r="J29" s="633">
        <f>SUMIF(84:84,I29,85:85)-SUMIF(84:84,C29,85:85)+100</f>
        <v>100</v>
      </c>
      <c r="K29" s="814"/>
      <c r="L29" s="2214"/>
      <c r="M29" s="2205"/>
      <c r="N29" s="2205"/>
      <c r="O29" s="2213"/>
      <c r="P29" s="3489"/>
      <c r="Q29" s="1113" t="str">
        <f t="shared" si="11"/>
        <v>有无电梯</v>
      </c>
      <c r="R29" s="1114" t="s">
        <v>61</v>
      </c>
      <c r="S29" s="1115">
        <f t="shared" si="12"/>
        <v>100</v>
      </c>
      <c r="T29" s="1114" t="s">
        <v>61</v>
      </c>
      <c r="U29" s="1115">
        <f t="shared" si="13"/>
        <v>100</v>
      </c>
      <c r="V29" s="1114" t="s">
        <v>61</v>
      </c>
      <c r="W29" s="1115">
        <f t="shared" si="14"/>
        <v>100</v>
      </c>
      <c r="X29" s="1108"/>
      <c r="Y29" s="3489"/>
      <c r="Z29" s="1116" t="str">
        <f t="shared" si="15"/>
        <v>有无电梯</v>
      </c>
      <c r="AA29" s="1117">
        <f t="shared" si="3"/>
        <v>1</v>
      </c>
      <c r="AB29" s="1117">
        <f t="shared" si="4"/>
        <v>1</v>
      </c>
      <c r="AC29" s="1117">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89"/>
      <c r="Q30" s="1113" t="str">
        <f t="shared" si="11"/>
        <v>建筑面积</v>
      </c>
      <c r="R30" s="1114" t="s">
        <v>61</v>
      </c>
      <c r="S30" s="1115" t="e">
        <f t="shared" si="12"/>
        <v>#N/A</v>
      </c>
      <c r="T30" s="1114" t="s">
        <v>61</v>
      </c>
      <c r="U30" s="1115" t="e">
        <f t="shared" si="13"/>
        <v>#N/A</v>
      </c>
      <c r="V30" s="1114" t="s">
        <v>61</v>
      </c>
      <c r="W30" s="1115" t="e">
        <f t="shared" si="14"/>
        <v>#N/A</v>
      </c>
      <c r="X30" s="1108"/>
      <c r="Y30" s="3489"/>
      <c r="Z30" s="1116" t="str">
        <f t="shared" si="15"/>
        <v>建筑面积</v>
      </c>
      <c r="AA30" s="1117" t="e">
        <f t="shared" si="3"/>
        <v>#N/A</v>
      </c>
      <c r="AB30" s="1117" t="e">
        <f t="shared" si="4"/>
        <v>#N/A</v>
      </c>
      <c r="AC30" s="1117" t="e">
        <f t="shared" si="5"/>
        <v>#N/A</v>
      </c>
    </row>
    <row r="31" spans="1:29" s="218" customFormat="1" ht="15">
      <c r="A31" s="672"/>
      <c r="B31" s="620" t="s">
        <v>489</v>
      </c>
      <c r="C31" s="1205"/>
      <c r="D31" s="235">
        <v>100</v>
      </c>
      <c r="E31" s="1205"/>
      <c r="F31" s="660">
        <f>SUMIF(89:89,E31,90:90)-SUMIF(89:89,C31,90:90)+100</f>
        <v>100</v>
      </c>
      <c r="G31" s="1205"/>
      <c r="H31" s="633">
        <f>SUMIF(89:89,G31,90:90)-SUMIF(89:89,C31,90:90)+100</f>
        <v>100</v>
      </c>
      <c r="I31" s="1205"/>
      <c r="J31" s="633">
        <f>SUMIF(89:89,I31,90:90)-SUMIF(89:89,C31,90:90)+100</f>
        <v>100</v>
      </c>
      <c r="K31" s="814"/>
      <c r="L31" s="2206"/>
      <c r="M31" s="2207"/>
      <c r="N31" s="2207"/>
      <c r="O31" s="2208"/>
      <c r="P31" s="3489"/>
      <c r="Q31" s="192" t="str">
        <f t="shared" si="11"/>
        <v>是否封闭</v>
      </c>
      <c r="R31" s="1109" t="s">
        <v>61</v>
      </c>
      <c r="S31" s="1110">
        <f t="shared" si="12"/>
        <v>100</v>
      </c>
      <c r="T31" s="1109" t="s">
        <v>61</v>
      </c>
      <c r="U31" s="1110">
        <f t="shared" si="13"/>
        <v>100</v>
      </c>
      <c r="V31" s="1109" t="s">
        <v>61</v>
      </c>
      <c r="W31" s="1110">
        <f t="shared" si="14"/>
        <v>100</v>
      </c>
      <c r="X31" s="1111"/>
      <c r="Y31" s="3489"/>
      <c r="Z31" s="206" t="str">
        <f t="shared" si="15"/>
        <v>是否封闭</v>
      </c>
      <c r="AA31" s="1112">
        <f t="shared" si="3"/>
        <v>1</v>
      </c>
      <c r="AB31" s="1112">
        <f t="shared" si="4"/>
        <v>1</v>
      </c>
      <c r="AC31" s="1112">
        <f t="shared" si="5"/>
        <v>1</v>
      </c>
    </row>
    <row r="32" spans="1:29" ht="15">
      <c r="A32" s="671"/>
      <c r="B32" s="889">
        <v>111</v>
      </c>
      <c r="C32" s="882"/>
      <c r="D32" s="633">
        <v>100</v>
      </c>
      <c r="E32" s="1151"/>
      <c r="F32" s="660">
        <f>SUMIF(91:91,E32,92:92)-SUMIF(91:91,C32,92:92)+100</f>
        <v>100</v>
      </c>
      <c r="G32" s="1151"/>
      <c r="H32" s="633">
        <f>SUMIF(91:91,G32,92:92)-SUMIF(91:91,C32,92:92)+100</f>
        <v>100</v>
      </c>
      <c r="I32" s="1151"/>
      <c r="J32" s="633">
        <f>SUMIF(91:91,I32,92:92)-SUMIF(91:91,C32,92:92)+100</f>
        <v>100</v>
      </c>
      <c r="K32" s="815"/>
      <c r="L32" s="2214"/>
      <c r="M32" s="2205"/>
      <c r="N32" s="2205"/>
      <c r="O32" s="2213"/>
      <c r="P32" s="3489" t="s">
        <v>423</v>
      </c>
      <c r="Q32" s="1113">
        <f t="shared" si="11"/>
        <v>111</v>
      </c>
      <c r="R32" s="1114" t="s">
        <v>61</v>
      </c>
      <c r="S32" s="1115">
        <f t="shared" si="12"/>
        <v>100</v>
      </c>
      <c r="T32" s="1114" t="s">
        <v>61</v>
      </c>
      <c r="U32" s="1115">
        <f t="shared" si="13"/>
        <v>100</v>
      </c>
      <c r="V32" s="1114" t="s">
        <v>61</v>
      </c>
      <c r="W32" s="1115">
        <f t="shared" si="14"/>
        <v>100</v>
      </c>
      <c r="X32" s="1108"/>
      <c r="Y32" s="3489" t="s">
        <v>423</v>
      </c>
      <c r="Z32" s="1116">
        <f t="shared" si="15"/>
        <v>111</v>
      </c>
      <c r="AA32" s="1117">
        <f t="shared" si="3"/>
        <v>1</v>
      </c>
      <c r="AB32" s="1117">
        <f t="shared" si="4"/>
        <v>1</v>
      </c>
      <c r="AC32" s="1117">
        <f t="shared" si="5"/>
        <v>1</v>
      </c>
    </row>
    <row r="33" spans="1:29" ht="15">
      <c r="A33" s="671"/>
      <c r="B33" s="889">
        <v>111</v>
      </c>
      <c r="C33" s="882"/>
      <c r="D33" s="633">
        <v>100</v>
      </c>
      <c r="E33" s="1151"/>
      <c r="F33" s="660">
        <f>SUMIF(93:93,E33,94:94)-SUMIF(93:93,C33,94:94)+100</f>
        <v>100</v>
      </c>
      <c r="G33" s="1151"/>
      <c r="H33" s="633">
        <f>SUMIF(93:93,G33,94:94)-SUMIF(93:93,C33,94:94)+100</f>
        <v>100</v>
      </c>
      <c r="I33" s="1151"/>
      <c r="J33" s="633">
        <f>SUMIF(93:93,I33,94:94)-SUMIF(93:93,C33,94:94)+100</f>
        <v>100</v>
      </c>
      <c r="K33" s="815"/>
      <c r="L33" s="2214"/>
      <c r="M33" s="2205"/>
      <c r="N33" s="2205"/>
      <c r="O33" s="2213"/>
      <c r="P33" s="3489"/>
      <c r="Q33" s="1113">
        <f t="shared" si="11"/>
        <v>111</v>
      </c>
      <c r="R33" s="1114" t="s">
        <v>61</v>
      </c>
      <c r="S33" s="1115">
        <f t="shared" si="12"/>
        <v>100</v>
      </c>
      <c r="T33" s="1114" t="s">
        <v>61</v>
      </c>
      <c r="U33" s="1115">
        <f t="shared" si="13"/>
        <v>100</v>
      </c>
      <c r="V33" s="1114" t="s">
        <v>61</v>
      </c>
      <c r="W33" s="1115">
        <f t="shared" si="14"/>
        <v>100</v>
      </c>
      <c r="X33" s="1108"/>
      <c r="Y33" s="3489"/>
      <c r="Z33" s="1116">
        <f t="shared" si="15"/>
        <v>111</v>
      </c>
      <c r="AA33" s="1117">
        <f t="shared" si="3"/>
        <v>1</v>
      </c>
      <c r="AB33" s="1117">
        <f t="shared" si="4"/>
        <v>1</v>
      </c>
      <c r="AC33" s="1117">
        <f t="shared" si="5"/>
        <v>1</v>
      </c>
    </row>
    <row r="34" spans="1:29" ht="15.75" thickBot="1">
      <c r="A34" s="677"/>
      <c r="B34" s="890">
        <v>111</v>
      </c>
      <c r="C34" s="41"/>
      <c r="D34" s="635">
        <v>100</v>
      </c>
      <c r="E34" s="1206"/>
      <c r="F34" s="636">
        <f>SUMIF(95:95,E34,96:96)-SUMIF(95:95,C34,96:96)+100</f>
        <v>100</v>
      </c>
      <c r="G34" s="1206"/>
      <c r="H34" s="635">
        <f>SUMIF(95:95,G34,96:96)-SUMIF(95:95,C34,96:96)+100</f>
        <v>100</v>
      </c>
      <c r="I34" s="1206"/>
      <c r="J34" s="635">
        <f>SUMIF(95:95,I34,96:96)-SUMIF(95:95,C34,96:96)+100</f>
        <v>100</v>
      </c>
      <c r="K34" s="815"/>
      <c r="L34" s="2214"/>
      <c r="M34" s="2205"/>
      <c r="N34" s="2205"/>
      <c r="O34" s="2213"/>
      <c r="P34" s="3489"/>
      <c r="Q34" s="1113">
        <f t="shared" si="11"/>
        <v>111</v>
      </c>
      <c r="R34" s="1114" t="s">
        <v>61</v>
      </c>
      <c r="S34" s="1115">
        <f t="shared" si="12"/>
        <v>100</v>
      </c>
      <c r="T34" s="1114" t="s">
        <v>61</v>
      </c>
      <c r="U34" s="1115">
        <f t="shared" si="13"/>
        <v>100</v>
      </c>
      <c r="V34" s="1114" t="s">
        <v>61</v>
      </c>
      <c r="W34" s="1115">
        <f t="shared" si="14"/>
        <v>100</v>
      </c>
      <c r="X34" s="1108"/>
      <c r="Y34" s="3489"/>
      <c r="Z34" s="1116">
        <f t="shared" si="15"/>
        <v>111</v>
      </c>
      <c r="AA34" s="1117">
        <f t="shared" si="3"/>
        <v>1</v>
      </c>
      <c r="AB34" s="1117">
        <f t="shared" si="4"/>
        <v>1</v>
      </c>
      <c r="AC34" s="1117">
        <f t="shared" si="5"/>
        <v>1</v>
      </c>
    </row>
    <row r="35" spans="1:29" ht="15">
      <c r="A35" s="678" t="s">
        <v>424</v>
      </c>
      <c r="B35" s="679"/>
      <c r="C35" s="2608" t="s">
        <v>20</v>
      </c>
      <c r="D35" s="2609"/>
      <c r="E35" s="2610"/>
      <c r="F35" s="2611"/>
      <c r="G35" s="2612"/>
      <c r="H35" s="2613"/>
      <c r="I35" s="2610"/>
      <c r="J35" s="2613"/>
      <c r="K35" s="1191"/>
      <c r="L35" s="2217"/>
      <c r="M35" s="2218"/>
      <c r="N35" s="2205"/>
      <c r="O35" s="2218"/>
      <c r="P35" s="3458" t="str">
        <f>A35</f>
        <v>成交单价（元/平方米）</v>
      </c>
      <c r="Q35" s="3458"/>
      <c r="R35" s="3490">
        <f>E35</f>
        <v>0</v>
      </c>
      <c r="S35" s="3490"/>
      <c r="T35" s="3490">
        <f>G35</f>
        <v>0</v>
      </c>
      <c r="U35" s="3490"/>
      <c r="V35" s="3490">
        <f>I35</f>
        <v>0</v>
      </c>
      <c r="W35" s="3490"/>
      <c r="X35" s="1097"/>
      <c r="Y35" s="1123"/>
      <c r="Z35" s="1097"/>
      <c r="AA35" s="1097"/>
      <c r="AB35" s="1097"/>
      <c r="AC35" s="1097"/>
    </row>
    <row r="36" spans="1:29" ht="15.75" thickBot="1">
      <c r="A36" s="685" t="s">
        <v>425</v>
      </c>
      <c r="B36" s="686"/>
      <c r="C36" s="2614" t="e">
        <f>R37</f>
        <v>#DIV/0!</v>
      </c>
      <c r="D36" s="2615"/>
      <c r="E36" s="2616" t="e">
        <f>R36</f>
        <v>#DIV/0!</v>
      </c>
      <c r="F36" s="2616"/>
      <c r="G36" s="2614" t="e">
        <f>T36</f>
        <v>#DIV/0!</v>
      </c>
      <c r="H36" s="2615"/>
      <c r="I36" s="2616" t="e">
        <f>V36</f>
        <v>#DIV/0!</v>
      </c>
      <c r="J36" s="2615"/>
      <c r="K36" s="1192"/>
      <c r="L36" s="2217"/>
      <c r="M36" s="2218"/>
      <c r="N36" s="2205"/>
      <c r="O36" s="2218"/>
      <c r="P36" s="3458" t="str">
        <f>A36</f>
        <v>比较价值（元/平方米）</v>
      </c>
      <c r="Q36" s="3458"/>
      <c r="R36" s="3490" t="e">
        <f>IF(E1="售价",ROUND(PRODUCT(R35,AA7:AA34),0),ROUND(PRODUCT(R35,AA7:AA34),1))</f>
        <v>#DIV/0!</v>
      </c>
      <c r="S36" s="3490"/>
      <c r="T36" s="3490" t="e">
        <f>IF(E1="售价",ROUND(PRODUCT(T35,AB7:AB34),0),ROUND(PRODUCT(T35,AB7:AB34),1))</f>
        <v>#DIV/0!</v>
      </c>
      <c r="U36" s="3490"/>
      <c r="V36" s="3490" t="e">
        <f>IF(E1="售价",ROUND(PRODUCT(V35,AC7:AC34),0),ROUND(PRODUCT(V35,AC7:AC34),1))</f>
        <v>#DIV/0!</v>
      </c>
      <c r="W36" s="3490"/>
      <c r="X36" s="1097"/>
      <c r="Y36" s="1097"/>
      <c r="Z36" s="1097"/>
      <c r="AA36" s="1097"/>
      <c r="AB36" s="1097"/>
      <c r="AC36" s="1097"/>
    </row>
    <row r="37" spans="1:29" ht="15.75" thickBot="1">
      <c r="A37" s="62" t="s">
        <v>2887</v>
      </c>
      <c r="B37" s="692"/>
      <c r="C37" s="2618" t="e">
        <f>R37</f>
        <v>#DIV/0!</v>
      </c>
      <c r="D37" s="2618"/>
      <c r="E37" s="2618"/>
      <c r="F37" s="2618"/>
      <c r="G37" s="2618"/>
      <c r="H37" s="2618"/>
      <c r="I37" s="2618"/>
      <c r="J37" s="2618"/>
      <c r="K37" s="1193"/>
      <c r="L37" s="2217"/>
      <c r="M37" s="2218"/>
      <c r="N37" s="2218"/>
      <c r="O37" s="2218"/>
      <c r="P37" s="3491" t="str">
        <f>A37</f>
        <v>估价对象XX用房的比较价值（楼面单价，元/平方米）</v>
      </c>
      <c r="Q37" s="3492"/>
      <c r="R37" s="3493" t="e">
        <f>IF(E1="售价",ROUND(AVERAGE(R36:V36),0),ROUND(AVERAGE(R36:V36),1))</f>
        <v>#DIV/0!</v>
      </c>
      <c r="S37" s="3493"/>
      <c r="T37" s="3493"/>
      <c r="U37" s="3493"/>
      <c r="V37" s="3493"/>
      <c r="W37" s="3493"/>
      <c r="X37" s="1097"/>
      <c r="Y37" s="1097"/>
      <c r="Z37" s="1097"/>
      <c r="AA37" s="1097"/>
      <c r="AB37" s="1097"/>
      <c r="AC37" s="1097"/>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1" t="s">
        <v>429</v>
      </c>
      <c r="B45" s="1097"/>
      <c r="C45" s="1102"/>
      <c r="D45" s="1102"/>
      <c r="E45" s="1102"/>
      <c r="F45" s="1103"/>
      <c r="G45" s="1103"/>
      <c r="H45" s="1102"/>
      <c r="I45" s="1102"/>
      <c r="J45" s="1102"/>
      <c r="K45" s="1104"/>
      <c r="L45" s="1105"/>
      <c r="M45" s="1102"/>
      <c r="N45" s="1102"/>
      <c r="O45" s="1102"/>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8"/>
      <c r="M71" s="1179"/>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79"/>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79"/>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c r="AD1" s="594"/>
    </row>
    <row r="2" spans="1:30" s="595" customFormat="1" ht="28.5" customHeight="1">
      <c r="A2" s="382" t="s">
        <v>359</v>
      </c>
      <c r="B2" s="942" t="e">
        <f>F66</f>
        <v>#DIV/0!</v>
      </c>
      <c r="C2" s="1970" t="s">
        <v>2203</v>
      </c>
      <c r="D2" s="1636"/>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c r="AD2" s="594"/>
    </row>
    <row r="3" spans="1:30" s="595" customFormat="1" ht="28.5" customHeight="1" thickBot="1">
      <c r="A3" s="384" t="s">
        <v>360</v>
      </c>
      <c r="B3" s="811" t="e">
        <f>ROUND(B2/'数据-取费表'!B5,0)</f>
        <v>#DIV/0!</v>
      </c>
      <c r="C3" s="1091" t="s">
        <v>2204</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30" ht="15">
      <c r="A4" s="598" t="s">
        <v>404</v>
      </c>
      <c r="B4" s="599"/>
      <c r="C4" s="3466" t="s">
        <v>405</v>
      </c>
      <c r="D4" s="3467"/>
      <c r="E4" s="3468" t="s">
        <v>406</v>
      </c>
      <c r="F4" s="3469"/>
      <c r="G4" s="3466" t="s">
        <v>407</v>
      </c>
      <c r="H4" s="3467"/>
      <c r="I4" s="3466" t="s">
        <v>408</v>
      </c>
      <c r="J4" s="3467"/>
      <c r="K4" s="812" t="s">
        <v>409</v>
      </c>
      <c r="L4" s="2204"/>
      <c r="M4" s="2205"/>
      <c r="N4" s="2205"/>
      <c r="O4" s="2205"/>
      <c r="P4" s="3470" t="s">
        <v>410</v>
      </c>
      <c r="Q4" s="3471"/>
      <c r="R4" s="3476" t="s">
        <v>406</v>
      </c>
      <c r="S4" s="3477"/>
      <c r="T4" s="3476" t="s">
        <v>407</v>
      </c>
      <c r="U4" s="3477"/>
      <c r="V4" s="3482" t="s">
        <v>408</v>
      </c>
      <c r="W4" s="3482"/>
      <c r="X4" s="1108"/>
      <c r="Y4" s="3476" t="s">
        <v>410</v>
      </c>
      <c r="Z4" s="3477"/>
      <c r="AA4" s="3463" t="s">
        <v>406</v>
      </c>
      <c r="AB4" s="3464" t="s">
        <v>407</v>
      </c>
      <c r="AC4" s="3463" t="s">
        <v>408</v>
      </c>
    </row>
    <row r="5" spans="1:30" ht="15">
      <c r="A5" s="601"/>
      <c r="B5" s="602"/>
      <c r="C5" s="3420" t="s">
        <v>1044</v>
      </c>
      <c r="D5" s="3421"/>
      <c r="E5" s="3418" t="s">
        <v>1045</v>
      </c>
      <c r="F5" s="3419"/>
      <c r="G5" s="3420" t="s">
        <v>1048</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30"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30" s="218" customFormat="1" ht="15.75" thickBot="1">
      <c r="A7" s="605" t="s">
        <v>412</v>
      </c>
      <c r="B7" s="606"/>
      <c r="C7" s="607">
        <f>'数据-取费表'!B2</f>
        <v>42998</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61" t="s">
        <v>413</v>
      </c>
      <c r="Q7" s="3485"/>
      <c r="R7" s="1109" t="s">
        <v>61</v>
      </c>
      <c r="S7" s="1110">
        <f t="shared" ref="S7:S15" si="0">F7</f>
        <v>0</v>
      </c>
      <c r="T7" s="1109" t="s">
        <v>61</v>
      </c>
      <c r="U7" s="1110">
        <f t="shared" ref="U7:U15" si="1">H7</f>
        <v>0</v>
      </c>
      <c r="V7" s="1109" t="s">
        <v>61</v>
      </c>
      <c r="W7" s="1110">
        <f t="shared" ref="W7:W15" si="2">J7</f>
        <v>0</v>
      </c>
      <c r="X7" s="1111"/>
      <c r="Y7" s="3461" t="s">
        <v>413</v>
      </c>
      <c r="Z7" s="3462"/>
      <c r="AA7" s="1112" t="e">
        <f>D7/F7</f>
        <v>#DIV/0!</v>
      </c>
      <c r="AB7" s="1112" t="e">
        <f>D7/H7</f>
        <v>#DIV/0!</v>
      </c>
      <c r="AC7" s="1112"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45" si="3">D8/F8</f>
        <v>#DIV/0!</v>
      </c>
      <c r="AB8" s="1112" t="e">
        <f t="shared" ref="AB8:AB45" si="4">D8/H8</f>
        <v>#DIV/0!</v>
      </c>
      <c r="AC8" s="1112"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58" t="s">
        <v>416</v>
      </c>
      <c r="Q9" s="192" t="str">
        <f t="shared" ref="Q9:Q15" si="6">B9</f>
        <v>用途</v>
      </c>
      <c r="R9" s="1109" t="s">
        <v>61</v>
      </c>
      <c r="S9" s="1110">
        <f t="shared" si="0"/>
        <v>100</v>
      </c>
      <c r="T9" s="1109" t="s">
        <v>61</v>
      </c>
      <c r="U9" s="1110">
        <f t="shared" si="1"/>
        <v>100</v>
      </c>
      <c r="V9" s="1109" t="s">
        <v>61</v>
      </c>
      <c r="W9" s="1110">
        <f t="shared" si="2"/>
        <v>100</v>
      </c>
      <c r="X9" s="1111"/>
      <c r="Y9" s="3300" t="s">
        <v>417</v>
      </c>
      <c r="Z9" s="206" t="str">
        <f t="shared" ref="Z9:Z15" si="7">Q9</f>
        <v>用途</v>
      </c>
      <c r="AA9" s="1112">
        <f t="shared" si="3"/>
        <v>1</v>
      </c>
      <c r="AB9" s="1112">
        <f t="shared" si="4"/>
        <v>1</v>
      </c>
      <c r="AC9" s="1112">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3"/>
      <c r="L10" s="2209"/>
      <c r="M10" s="2210"/>
      <c r="N10" s="2210"/>
      <c r="O10" s="2211"/>
      <c r="P10" s="3458"/>
      <c r="Q10" s="192" t="str">
        <f t="shared" si="6"/>
        <v>土地使用年限（年）</v>
      </c>
      <c r="R10" s="1109" t="s">
        <v>61</v>
      </c>
      <c r="S10" s="1110">
        <f t="shared" si="0"/>
        <v>104</v>
      </c>
      <c r="T10" s="1109" t="s">
        <v>61</v>
      </c>
      <c r="U10" s="1110">
        <f t="shared" si="1"/>
        <v>104</v>
      </c>
      <c r="V10" s="1109" t="s">
        <v>61</v>
      </c>
      <c r="W10" s="1110">
        <f t="shared" si="2"/>
        <v>104</v>
      </c>
      <c r="X10" s="1111"/>
      <c r="Y10" s="3300"/>
      <c r="Z10" s="206" t="str">
        <f t="shared" si="7"/>
        <v>土地使用年限（年）</v>
      </c>
      <c r="AA10" s="1112">
        <f t="shared" si="3"/>
        <v>0.96153846153846156</v>
      </c>
      <c r="AB10" s="1112">
        <f t="shared" si="4"/>
        <v>0.96153846153846156</v>
      </c>
      <c r="AC10" s="1112">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58"/>
      <c r="Q11" s="192" t="str">
        <f t="shared" si="6"/>
        <v>容积率</v>
      </c>
      <c r="R11" s="1109" t="s">
        <v>61</v>
      </c>
      <c r="S11" s="1110" t="e">
        <f t="shared" si="0"/>
        <v>#N/A</v>
      </c>
      <c r="T11" s="1109" t="s">
        <v>61</v>
      </c>
      <c r="U11" s="1110" t="e">
        <f t="shared" si="1"/>
        <v>#N/A</v>
      </c>
      <c r="V11" s="1109" t="s">
        <v>61</v>
      </c>
      <c r="W11" s="1110" t="e">
        <f t="shared" si="2"/>
        <v>#N/A</v>
      </c>
      <c r="X11" s="1111"/>
      <c r="Y11" s="3300"/>
      <c r="Z11" s="206" t="str">
        <f t="shared" si="7"/>
        <v>容积率</v>
      </c>
      <c r="AA11" s="1112" t="e">
        <f t="shared" si="3"/>
        <v>#N/A</v>
      </c>
      <c r="AB11" s="1112" t="e">
        <f t="shared" si="4"/>
        <v>#N/A</v>
      </c>
      <c r="AC11" s="1112"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58"/>
      <c r="Q12" s="192" t="str">
        <f t="shared" si="6"/>
        <v>配建</v>
      </c>
      <c r="R12" s="1109" t="s">
        <v>61</v>
      </c>
      <c r="S12" s="1110">
        <f t="shared" si="0"/>
        <v>100</v>
      </c>
      <c r="T12" s="1109" t="s">
        <v>61</v>
      </c>
      <c r="U12" s="1110">
        <f t="shared" si="1"/>
        <v>100</v>
      </c>
      <c r="V12" s="1109" t="s">
        <v>61</v>
      </c>
      <c r="W12" s="1110">
        <f t="shared" si="2"/>
        <v>100</v>
      </c>
      <c r="X12" s="1111"/>
      <c r="Y12" s="3300"/>
      <c r="Z12" s="206" t="str">
        <f t="shared" si="7"/>
        <v>配建</v>
      </c>
      <c r="AA12" s="1112">
        <f>D12/F12</f>
        <v>1</v>
      </c>
      <c r="AB12" s="1112">
        <f>D12/H12</f>
        <v>1</v>
      </c>
      <c r="AC12" s="1112">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D13/F13</f>
        <v>1</v>
      </c>
      <c r="AB13" s="1112">
        <f>D13/H13</f>
        <v>1</v>
      </c>
      <c r="AC13" s="1112">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58"/>
      <c r="Q14" s="192">
        <f t="shared" si="6"/>
        <v>111</v>
      </c>
      <c r="R14" s="1109" t="s">
        <v>61</v>
      </c>
      <c r="S14" s="1110">
        <f t="shared" si="0"/>
        <v>100</v>
      </c>
      <c r="T14" s="1109" t="s">
        <v>61</v>
      </c>
      <c r="U14" s="1110">
        <f t="shared" si="1"/>
        <v>100</v>
      </c>
      <c r="V14" s="1109" t="s">
        <v>61</v>
      </c>
      <c r="W14" s="1110">
        <f t="shared" si="2"/>
        <v>100</v>
      </c>
      <c r="X14" s="1111"/>
      <c r="Y14" s="3300"/>
      <c r="Z14" s="206">
        <f t="shared" si="7"/>
        <v>111</v>
      </c>
      <c r="AA14" s="1112">
        <f>D14/F14</f>
        <v>1</v>
      </c>
      <c r="AB14" s="1112">
        <f>D14/H14</f>
        <v>1</v>
      </c>
      <c r="AC14" s="1112">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86" t="s">
        <v>421</v>
      </c>
      <c r="Q15" s="1113" t="str">
        <f t="shared" si="6"/>
        <v>居住社区成熟度</v>
      </c>
      <c r="R15" s="1114" t="s">
        <v>61</v>
      </c>
      <c r="S15" s="1115">
        <f t="shared" si="0"/>
        <v>100</v>
      </c>
      <c r="T15" s="1114" t="s">
        <v>61</v>
      </c>
      <c r="U15" s="1115">
        <f t="shared" si="1"/>
        <v>100</v>
      </c>
      <c r="V15" s="1114" t="s">
        <v>61</v>
      </c>
      <c r="W15" s="1115">
        <f t="shared" si="2"/>
        <v>100</v>
      </c>
      <c r="X15" s="1108"/>
      <c r="Y15" s="3486" t="s">
        <v>421</v>
      </c>
      <c r="Z15" s="1116" t="str">
        <f t="shared" si="7"/>
        <v>居住社区成熟度</v>
      </c>
      <c r="AA15" s="1117">
        <f t="shared" si="3"/>
        <v>1</v>
      </c>
      <c r="AB15" s="1117">
        <f t="shared" si="4"/>
        <v>1</v>
      </c>
      <c r="AC15" s="1117">
        <f t="shared" si="5"/>
        <v>1</v>
      </c>
    </row>
    <row r="16" spans="1:30" ht="15">
      <c r="A16" s="601"/>
      <c r="B16" s="2580"/>
      <c r="C16" s="144"/>
      <c r="D16" s="645"/>
      <c r="E16" s="45"/>
      <c r="F16" s="645"/>
      <c r="G16" s="45"/>
      <c r="H16" s="648"/>
      <c r="I16" s="46"/>
      <c r="J16" s="645"/>
      <c r="K16" s="943"/>
      <c r="L16" s="2214"/>
      <c r="M16" s="2205"/>
      <c r="N16" s="2205"/>
      <c r="O16" s="2213"/>
      <c r="P16" s="3487"/>
      <c r="Q16" s="1113"/>
      <c r="R16" s="1114"/>
      <c r="S16" s="1115"/>
      <c r="T16" s="1114"/>
      <c r="U16" s="1115"/>
      <c r="V16" s="1114"/>
      <c r="W16" s="1115"/>
      <c r="X16" s="1108"/>
      <c r="Y16" s="3487"/>
      <c r="Z16" s="1116"/>
      <c r="AA16" s="1117">
        <v>1</v>
      </c>
      <c r="AB16" s="1117">
        <v>1</v>
      </c>
      <c r="AC16" s="1117">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87"/>
      <c r="Q17" s="1113" t="str">
        <f>B17</f>
        <v>商业繁华度</v>
      </c>
      <c r="R17" s="1114" t="s">
        <v>61</v>
      </c>
      <c r="S17" s="1115">
        <f>F17</f>
        <v>100</v>
      </c>
      <c r="T17" s="1114" t="s">
        <v>61</v>
      </c>
      <c r="U17" s="1115">
        <f>H17</f>
        <v>100</v>
      </c>
      <c r="V17" s="1114" t="s">
        <v>61</v>
      </c>
      <c r="W17" s="1115">
        <f>J17</f>
        <v>100</v>
      </c>
      <c r="X17" s="1108"/>
      <c r="Y17" s="3487"/>
      <c r="Z17" s="1116" t="str">
        <f>Q17</f>
        <v>商业繁华度</v>
      </c>
      <c r="AA17" s="1117">
        <f t="shared" si="3"/>
        <v>1</v>
      </c>
      <c r="AB17" s="1117">
        <f t="shared" si="4"/>
        <v>1</v>
      </c>
      <c r="AC17" s="1117">
        <f t="shared" si="5"/>
        <v>1</v>
      </c>
    </row>
    <row r="18" spans="1:29" ht="15">
      <c r="A18" s="601"/>
      <c r="B18" s="2582"/>
      <c r="C18" s="145"/>
      <c r="D18" s="648"/>
      <c r="E18" s="50"/>
      <c r="F18" s="648"/>
      <c r="G18" s="50"/>
      <c r="H18" s="645"/>
      <c r="I18" s="51"/>
      <c r="J18" s="645"/>
      <c r="K18" s="943"/>
      <c r="L18" s="2214"/>
      <c r="M18" s="2205"/>
      <c r="N18" s="2205"/>
      <c r="O18" s="2213"/>
      <c r="P18" s="3487"/>
      <c r="Q18" s="1113"/>
      <c r="R18" s="1114"/>
      <c r="S18" s="1115"/>
      <c r="T18" s="1114"/>
      <c r="U18" s="1115"/>
      <c r="V18" s="1114"/>
      <c r="W18" s="1115"/>
      <c r="X18" s="1108"/>
      <c r="Y18" s="3487"/>
      <c r="Z18" s="1116"/>
      <c r="AA18" s="1117">
        <v>1</v>
      </c>
      <c r="AB18" s="1117">
        <v>1</v>
      </c>
      <c r="AC18" s="1117">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87"/>
      <c r="Q19" s="1113" t="str">
        <f>B19</f>
        <v>办公集聚程度</v>
      </c>
      <c r="R19" s="1114" t="s">
        <v>61</v>
      </c>
      <c r="S19" s="1115">
        <f>F19</f>
        <v>100</v>
      </c>
      <c r="T19" s="1114" t="s">
        <v>61</v>
      </c>
      <c r="U19" s="1115">
        <f>H19</f>
        <v>100</v>
      </c>
      <c r="V19" s="1114" t="s">
        <v>61</v>
      </c>
      <c r="W19" s="1115">
        <f>J19</f>
        <v>100</v>
      </c>
      <c r="X19" s="1108"/>
      <c r="Y19" s="3487"/>
      <c r="Z19" s="1116" t="str">
        <f>Q19</f>
        <v>办公集聚程度</v>
      </c>
      <c r="AA19" s="1117">
        <f t="shared" si="3"/>
        <v>1</v>
      </c>
      <c r="AB19" s="1117">
        <f t="shared" si="4"/>
        <v>1</v>
      </c>
      <c r="AC19" s="1117">
        <f t="shared" si="5"/>
        <v>1</v>
      </c>
    </row>
    <row r="20" spans="1:29" ht="15">
      <c r="A20" s="601"/>
      <c r="B20" s="2582"/>
      <c r="C20" s="144"/>
      <c r="D20" s="645"/>
      <c r="E20" s="45"/>
      <c r="F20" s="645"/>
      <c r="G20" s="45"/>
      <c r="H20" s="645"/>
      <c r="I20" s="46"/>
      <c r="J20" s="645"/>
      <c r="K20" s="943"/>
      <c r="L20" s="2214"/>
      <c r="M20" s="2205"/>
      <c r="N20" s="2205"/>
      <c r="O20" s="2213"/>
      <c r="P20" s="3487"/>
      <c r="Q20" s="1113"/>
      <c r="R20" s="1114"/>
      <c r="S20" s="1115"/>
      <c r="T20" s="1114"/>
      <c r="U20" s="1115"/>
      <c r="V20" s="1114"/>
      <c r="W20" s="1115"/>
      <c r="X20" s="1108"/>
      <c r="Y20" s="3487"/>
      <c r="Z20" s="1116"/>
      <c r="AA20" s="1117">
        <v>1</v>
      </c>
      <c r="AB20" s="1117">
        <v>1</v>
      </c>
      <c r="AC20" s="1117">
        <v>1</v>
      </c>
    </row>
    <row r="21" spans="1:29" ht="94.5">
      <c r="A21" s="601"/>
      <c r="B21" s="2581"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87"/>
      <c r="Q21" s="1113" t="str">
        <f>B21</f>
        <v>交通便捷度</v>
      </c>
      <c r="R21" s="1114" t="s">
        <v>61</v>
      </c>
      <c r="S21" s="1115">
        <f>F21</f>
        <v>100</v>
      </c>
      <c r="T21" s="1114" t="s">
        <v>61</v>
      </c>
      <c r="U21" s="1115">
        <f>H21</f>
        <v>100</v>
      </c>
      <c r="V21" s="1114" t="s">
        <v>61</v>
      </c>
      <c r="W21" s="1115">
        <f>J21</f>
        <v>100</v>
      </c>
      <c r="X21" s="1108"/>
      <c r="Y21" s="3487"/>
      <c r="Z21" s="1116" t="str">
        <f>Q21</f>
        <v>交通便捷度</v>
      </c>
      <c r="AA21" s="1117">
        <f t="shared" si="3"/>
        <v>1</v>
      </c>
      <c r="AB21" s="1117">
        <f t="shared" si="4"/>
        <v>1</v>
      </c>
      <c r="AC21" s="1117">
        <f t="shared" si="5"/>
        <v>1</v>
      </c>
    </row>
    <row r="22" spans="1:29" ht="15">
      <c r="A22" s="601"/>
      <c r="B22" s="2583"/>
      <c r="C22" s="144"/>
      <c r="D22" s="648"/>
      <c r="E22" s="45"/>
      <c r="F22" s="645"/>
      <c r="G22" s="45"/>
      <c r="H22" s="645"/>
      <c r="I22" s="46"/>
      <c r="J22" s="645"/>
      <c r="K22" s="943"/>
      <c r="L22" s="2214"/>
      <c r="M22" s="2205"/>
      <c r="N22" s="2205"/>
      <c r="O22" s="2213"/>
      <c r="P22" s="3487"/>
      <c r="Q22" s="1113"/>
      <c r="R22" s="1114"/>
      <c r="S22" s="1115"/>
      <c r="T22" s="1114"/>
      <c r="U22" s="1115"/>
      <c r="V22" s="1114"/>
      <c r="W22" s="1115"/>
      <c r="X22" s="1108"/>
      <c r="Y22" s="3487"/>
      <c r="Z22" s="1116"/>
      <c r="AA22" s="1117">
        <v>1</v>
      </c>
      <c r="AB22" s="1117">
        <v>1</v>
      </c>
      <c r="AC22" s="1117">
        <v>1</v>
      </c>
    </row>
    <row r="23" spans="1:29" ht="27">
      <c r="A23" s="601"/>
      <c r="B23" s="2584" t="s">
        <v>495</v>
      </c>
      <c r="C23" s="1287">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87"/>
      <c r="Q23" s="1113" t="str">
        <f t="shared" ref="Q23:Q37" si="8">B23</f>
        <v>区域土地利用方向</v>
      </c>
      <c r="R23" s="1114" t="s">
        <v>61</v>
      </c>
      <c r="S23" s="1115">
        <f>F23</f>
        <v>100</v>
      </c>
      <c r="T23" s="1114" t="s">
        <v>61</v>
      </c>
      <c r="U23" s="1115">
        <f>H23</f>
        <v>100</v>
      </c>
      <c r="V23" s="1114" t="s">
        <v>61</v>
      </c>
      <c r="W23" s="1115">
        <f>J23</f>
        <v>100</v>
      </c>
      <c r="X23" s="1108"/>
      <c r="Y23" s="3487"/>
      <c r="Z23" s="1116" t="str">
        <f>Q23</f>
        <v>区域土地利用方向</v>
      </c>
      <c r="AA23" s="1117">
        <f t="shared" si="3"/>
        <v>1</v>
      </c>
      <c r="AB23" s="1117">
        <f t="shared" si="4"/>
        <v>1</v>
      </c>
      <c r="AC23" s="1117">
        <f t="shared" si="5"/>
        <v>1</v>
      </c>
    </row>
    <row r="24" spans="1:29" ht="15">
      <c r="A24" s="601"/>
      <c r="B24" s="2585"/>
      <c r="C24" s="147"/>
      <c r="D24" s="645"/>
      <c r="E24" s="45"/>
      <c r="F24" s="645"/>
      <c r="G24" s="46"/>
      <c r="H24" s="645"/>
      <c r="I24" s="46"/>
      <c r="J24" s="645"/>
      <c r="K24" s="1288"/>
      <c r="L24" s="2214"/>
      <c r="M24" s="2205"/>
      <c r="N24" s="2205"/>
      <c r="O24" s="2213"/>
      <c r="P24" s="3487"/>
      <c r="Q24" s="1281"/>
      <c r="R24" s="1114"/>
      <c r="S24" s="1115"/>
      <c r="T24" s="1114"/>
      <c r="U24" s="1115"/>
      <c r="V24" s="1114"/>
      <c r="W24" s="1115"/>
      <c r="X24" s="1280"/>
      <c r="Y24" s="3487"/>
      <c r="Z24" s="1282"/>
      <c r="AA24" s="1117"/>
      <c r="AB24" s="1117"/>
      <c r="AC24" s="1117"/>
    </row>
    <row r="25" spans="1:29" ht="54">
      <c r="A25" s="601"/>
      <c r="B25" s="2583"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87"/>
      <c r="Q25" s="1113" t="str">
        <f t="shared" si="8"/>
        <v>自然及人文环境状况</v>
      </c>
      <c r="R25" s="1114" t="s">
        <v>61</v>
      </c>
      <c r="S25" s="1115">
        <f>F25</f>
        <v>100</v>
      </c>
      <c r="T25" s="1114" t="s">
        <v>61</v>
      </c>
      <c r="U25" s="1115">
        <f>H25</f>
        <v>100</v>
      </c>
      <c r="V25" s="1114" t="s">
        <v>61</v>
      </c>
      <c r="W25" s="1115">
        <f>J25</f>
        <v>100</v>
      </c>
      <c r="X25" s="1108"/>
      <c r="Y25" s="3487"/>
      <c r="Z25" s="1116" t="str">
        <f>Q25</f>
        <v>自然及人文环境状况</v>
      </c>
      <c r="AA25" s="1117">
        <f t="shared" si="3"/>
        <v>1</v>
      </c>
      <c r="AB25" s="1117">
        <f t="shared" si="4"/>
        <v>1</v>
      </c>
      <c r="AC25" s="1117">
        <f t="shared" si="5"/>
        <v>1</v>
      </c>
    </row>
    <row r="26" spans="1:29" ht="15">
      <c r="A26" s="601"/>
      <c r="B26" s="2582"/>
      <c r="C26" s="144"/>
      <c r="D26" s="645"/>
      <c r="E26" s="144"/>
      <c r="F26" s="645"/>
      <c r="G26" s="144"/>
      <c r="H26" s="645"/>
      <c r="I26" s="44"/>
      <c r="J26" s="645"/>
      <c r="K26" s="943"/>
      <c r="L26" s="2214"/>
      <c r="M26" s="2205"/>
      <c r="N26" s="2205"/>
      <c r="O26" s="2213"/>
      <c r="P26" s="3487"/>
      <c r="Q26" s="1113"/>
      <c r="R26" s="1114"/>
      <c r="S26" s="1115"/>
      <c r="T26" s="1114"/>
      <c r="U26" s="1115"/>
      <c r="V26" s="1114"/>
      <c r="W26" s="1115"/>
      <c r="X26" s="1108"/>
      <c r="Y26" s="3487"/>
      <c r="Z26" s="1116"/>
      <c r="AA26" s="1117">
        <v>1</v>
      </c>
      <c r="AB26" s="1117">
        <v>1</v>
      </c>
      <c r="AC26" s="1117">
        <v>1</v>
      </c>
    </row>
    <row r="27" spans="1:29" ht="40.5">
      <c r="A27" s="601"/>
      <c r="B27" s="2586" t="s">
        <v>2549</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87"/>
      <c r="Q27" s="2545" t="str">
        <f t="shared" ref="Q27" si="9">B27</f>
        <v>公共配套设施</v>
      </c>
      <c r="R27" s="1109" t="s">
        <v>61</v>
      </c>
      <c r="S27" s="1110">
        <f>F27</f>
        <v>100</v>
      </c>
      <c r="T27" s="1109" t="s">
        <v>61</v>
      </c>
      <c r="U27" s="1110">
        <f>H27</f>
        <v>100</v>
      </c>
      <c r="V27" s="1109" t="s">
        <v>61</v>
      </c>
      <c r="W27" s="1110">
        <f>J27</f>
        <v>100</v>
      </c>
      <c r="X27" s="2550"/>
      <c r="Y27" s="3487"/>
      <c r="Z27" s="206" t="str">
        <f>Q27</f>
        <v>公共配套设施</v>
      </c>
      <c r="AA27" s="1117">
        <f>D27/F27</f>
        <v>1</v>
      </c>
      <c r="AB27" s="1117">
        <f>D27/H27</f>
        <v>1</v>
      </c>
      <c r="AC27" s="1117">
        <f>D27/J27</f>
        <v>1</v>
      </c>
    </row>
    <row r="28" spans="1:29" ht="15">
      <c r="A28" s="601"/>
      <c r="B28" s="2582"/>
      <c r="C28" s="895"/>
      <c r="D28" s="645"/>
      <c r="E28" s="895"/>
      <c r="F28" s="645"/>
      <c r="G28" s="895"/>
      <c r="H28" s="645"/>
      <c r="I28" s="895"/>
      <c r="J28" s="645"/>
      <c r="K28" s="943"/>
      <c r="L28" s="2214"/>
      <c r="M28" s="2205"/>
      <c r="N28" s="2205"/>
      <c r="O28" s="2213"/>
      <c r="P28" s="3487"/>
      <c r="Q28" s="2549"/>
      <c r="R28" s="1114"/>
      <c r="S28" s="1115"/>
      <c r="T28" s="1114"/>
      <c r="U28" s="1115"/>
      <c r="V28" s="1114"/>
      <c r="W28" s="1115"/>
      <c r="X28" s="2550"/>
      <c r="Y28" s="3487"/>
      <c r="Z28" s="206"/>
      <c r="AA28" s="1117">
        <v>1</v>
      </c>
      <c r="AB28" s="1117">
        <v>1</v>
      </c>
      <c r="AC28" s="1117">
        <v>1</v>
      </c>
    </row>
    <row r="29" spans="1:29" s="218" customFormat="1" ht="40.5">
      <c r="A29" s="851"/>
      <c r="B29" s="2586" t="s">
        <v>2556</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87"/>
      <c r="Q29" s="192" t="str">
        <f t="shared" si="8"/>
        <v>基础设施水平</v>
      </c>
      <c r="R29" s="1109" t="s">
        <v>61</v>
      </c>
      <c r="S29" s="1110">
        <f>F29</f>
        <v>100</v>
      </c>
      <c r="T29" s="1109" t="s">
        <v>61</v>
      </c>
      <c r="U29" s="1110">
        <f>H29</f>
        <v>100</v>
      </c>
      <c r="V29" s="1109" t="s">
        <v>61</v>
      </c>
      <c r="W29" s="1110">
        <f>J29</f>
        <v>100</v>
      </c>
      <c r="X29" s="1111"/>
      <c r="Y29" s="3487"/>
      <c r="Z29" s="206" t="str">
        <f>Q29</f>
        <v>基础设施水平</v>
      </c>
      <c r="AA29" s="1117">
        <f>D29/F29</f>
        <v>1</v>
      </c>
      <c r="AB29" s="1117">
        <f>D29/H29</f>
        <v>1</v>
      </c>
      <c r="AC29" s="1117">
        <f>D29/J29</f>
        <v>1</v>
      </c>
    </row>
    <row r="30" spans="1:29" s="218" customFormat="1" ht="15">
      <c r="A30" s="851"/>
      <c r="B30" s="2582"/>
      <c r="C30" s="895"/>
      <c r="D30" s="645"/>
      <c r="E30" s="895"/>
      <c r="F30" s="645"/>
      <c r="G30" s="895"/>
      <c r="H30" s="645"/>
      <c r="I30" s="895"/>
      <c r="J30" s="645"/>
      <c r="K30" s="943"/>
      <c r="L30" s="2206"/>
      <c r="M30" s="2207"/>
      <c r="N30" s="2207"/>
      <c r="O30" s="2208"/>
      <c r="P30" s="3487"/>
      <c r="Q30" s="192"/>
      <c r="R30" s="1109"/>
      <c r="S30" s="1110"/>
      <c r="T30" s="1109"/>
      <c r="U30" s="1110"/>
      <c r="V30" s="1109"/>
      <c r="W30" s="1110"/>
      <c r="X30" s="1111"/>
      <c r="Y30" s="3487"/>
      <c r="Z30" s="206"/>
      <c r="AA30" s="1117">
        <v>1</v>
      </c>
      <c r="AB30" s="1117">
        <v>1</v>
      </c>
      <c r="AC30" s="1117">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87"/>
      <c r="Q31" s="1113" t="str">
        <f t="shared" si="8"/>
        <v>临街状况</v>
      </c>
      <c r="R31" s="1114" t="s">
        <v>61</v>
      </c>
      <c r="S31" s="1115">
        <f t="shared" ref="S31:S45" si="10">F31</f>
        <v>100</v>
      </c>
      <c r="T31" s="1114" t="s">
        <v>61</v>
      </c>
      <c r="U31" s="1115">
        <f t="shared" ref="U31:U45" si="11">H31</f>
        <v>100</v>
      </c>
      <c r="V31" s="1114" t="s">
        <v>61</v>
      </c>
      <c r="W31" s="1115">
        <f t="shared" ref="W31:W45" si="12">J31</f>
        <v>100</v>
      </c>
      <c r="X31" s="1108"/>
      <c r="Y31" s="3487"/>
      <c r="Z31" s="1116" t="str">
        <f t="shared" ref="Z31:Z45" si="13">Q31</f>
        <v>临街状况</v>
      </c>
      <c r="AA31" s="1117">
        <f t="shared" si="3"/>
        <v>1</v>
      </c>
      <c r="AB31" s="1117">
        <f t="shared" si="4"/>
        <v>1</v>
      </c>
      <c r="AC31" s="1117">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87"/>
      <c r="Q32" s="1113" t="str">
        <f t="shared" si="8"/>
        <v>毗邻道路的类型与等级</v>
      </c>
      <c r="R32" s="1114" t="s">
        <v>61</v>
      </c>
      <c r="S32" s="1115">
        <f t="shared" si="10"/>
        <v>100</v>
      </c>
      <c r="T32" s="1114" t="s">
        <v>61</v>
      </c>
      <c r="U32" s="1115">
        <f t="shared" si="11"/>
        <v>100</v>
      </c>
      <c r="V32" s="1114" t="s">
        <v>61</v>
      </c>
      <c r="W32" s="1115">
        <f t="shared" si="12"/>
        <v>100</v>
      </c>
      <c r="X32" s="1108"/>
      <c r="Y32" s="3487"/>
      <c r="Z32" s="1116" t="str">
        <f t="shared" si="13"/>
        <v>毗邻道路的类型与等级</v>
      </c>
      <c r="AA32" s="1117">
        <f t="shared" si="3"/>
        <v>1</v>
      </c>
      <c r="AB32" s="1117">
        <f t="shared" si="4"/>
        <v>1</v>
      </c>
      <c r="AC32" s="1117">
        <f t="shared" si="5"/>
        <v>1</v>
      </c>
    </row>
    <row r="33" spans="1:29" ht="15">
      <c r="A33" s="601"/>
      <c r="B33" s="2582"/>
      <c r="C33" s="144"/>
      <c r="D33" s="645"/>
      <c r="E33" s="144"/>
      <c r="F33" s="645"/>
      <c r="G33" s="144"/>
      <c r="H33" s="645"/>
      <c r="I33" s="44"/>
      <c r="J33" s="645"/>
      <c r="K33" s="815"/>
      <c r="L33" s="2214"/>
      <c r="M33" s="2205"/>
      <c r="N33" s="2205"/>
      <c r="O33" s="2213"/>
      <c r="P33" s="3487"/>
      <c r="Q33" s="1113"/>
      <c r="R33" s="1114"/>
      <c r="S33" s="1115"/>
      <c r="T33" s="1114"/>
      <c r="U33" s="1115"/>
      <c r="V33" s="1114"/>
      <c r="W33" s="1115"/>
      <c r="X33" s="1108"/>
      <c r="Y33" s="3487"/>
      <c r="Z33" s="1116"/>
      <c r="AA33" s="1117">
        <v>1</v>
      </c>
      <c r="AB33" s="1117">
        <v>1</v>
      </c>
      <c r="AC33" s="1117">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87"/>
      <c r="Q34" s="1113" t="str">
        <f t="shared" si="8"/>
        <v>土地级别</v>
      </c>
      <c r="R34" s="1114" t="s">
        <v>61</v>
      </c>
      <c r="S34" s="1115">
        <f t="shared" si="10"/>
        <v>100</v>
      </c>
      <c r="T34" s="1114" t="s">
        <v>61</v>
      </c>
      <c r="U34" s="1115">
        <f t="shared" si="11"/>
        <v>100</v>
      </c>
      <c r="V34" s="1114" t="s">
        <v>61</v>
      </c>
      <c r="W34" s="1115">
        <f t="shared" si="12"/>
        <v>100</v>
      </c>
      <c r="X34" s="1108"/>
      <c r="Y34" s="3487"/>
      <c r="Z34" s="1116" t="str">
        <f t="shared" si="13"/>
        <v>土地级别</v>
      </c>
      <c r="AA34" s="1117">
        <f t="shared" si="3"/>
        <v>1</v>
      </c>
      <c r="AB34" s="1117">
        <f t="shared" si="4"/>
        <v>1</v>
      </c>
      <c r="AC34" s="1117">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87"/>
      <c r="Q35" s="1113">
        <f t="shared" si="8"/>
        <v>111</v>
      </c>
      <c r="R35" s="1114" t="s">
        <v>61</v>
      </c>
      <c r="S35" s="1115">
        <f t="shared" si="10"/>
        <v>100</v>
      </c>
      <c r="T35" s="1114" t="s">
        <v>61</v>
      </c>
      <c r="U35" s="1115">
        <f t="shared" si="11"/>
        <v>100</v>
      </c>
      <c r="V35" s="1114" t="s">
        <v>61</v>
      </c>
      <c r="W35" s="1115">
        <f t="shared" si="12"/>
        <v>100</v>
      </c>
      <c r="X35" s="1108"/>
      <c r="Y35" s="3487"/>
      <c r="Z35" s="1116">
        <f t="shared" si="13"/>
        <v>111</v>
      </c>
      <c r="AA35" s="1117">
        <f t="shared" si="3"/>
        <v>1</v>
      </c>
      <c r="AB35" s="1117">
        <f t="shared" si="4"/>
        <v>1</v>
      </c>
      <c r="AC35" s="1117">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88" t="s">
        <v>423</v>
      </c>
      <c r="Q36" s="1113">
        <f t="shared" si="8"/>
        <v>111</v>
      </c>
      <c r="R36" s="1114" t="s">
        <v>61</v>
      </c>
      <c r="S36" s="1115">
        <f t="shared" si="10"/>
        <v>100</v>
      </c>
      <c r="T36" s="1114" t="s">
        <v>61</v>
      </c>
      <c r="U36" s="1115">
        <f t="shared" si="11"/>
        <v>100</v>
      </c>
      <c r="V36" s="1114" t="s">
        <v>61</v>
      </c>
      <c r="W36" s="1115">
        <f t="shared" si="12"/>
        <v>100</v>
      </c>
      <c r="X36" s="1108"/>
      <c r="Y36" s="3489" t="s">
        <v>423</v>
      </c>
      <c r="Z36" s="1116">
        <f t="shared" si="13"/>
        <v>111</v>
      </c>
      <c r="AA36" s="1117">
        <f t="shared" si="3"/>
        <v>1</v>
      </c>
      <c r="AB36" s="1117">
        <f t="shared" si="4"/>
        <v>1</v>
      </c>
      <c r="AC36" s="1117">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89"/>
      <c r="Q37" s="1113">
        <f t="shared" si="8"/>
        <v>111</v>
      </c>
      <c r="R37" s="1119" t="s">
        <v>61</v>
      </c>
      <c r="S37" s="1120">
        <f t="shared" si="10"/>
        <v>100</v>
      </c>
      <c r="T37" s="1119" t="s">
        <v>61</v>
      </c>
      <c r="U37" s="1120">
        <f t="shared" si="11"/>
        <v>100</v>
      </c>
      <c r="V37" s="1119" t="s">
        <v>61</v>
      </c>
      <c r="W37" s="1120">
        <f t="shared" si="12"/>
        <v>100</v>
      </c>
      <c r="X37" s="1121"/>
      <c r="Y37" s="3489"/>
      <c r="Z37" s="1122">
        <f t="shared" si="13"/>
        <v>111</v>
      </c>
      <c r="AA37" s="1117">
        <f t="shared" si="3"/>
        <v>1</v>
      </c>
      <c r="AB37" s="1117">
        <f t="shared" si="4"/>
        <v>1</v>
      </c>
      <c r="AC37" s="1117">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89"/>
      <c r="Q38" s="1113" t="str">
        <f>B38</f>
        <v>宗地面积</v>
      </c>
      <c r="R38" s="1114" t="s">
        <v>61</v>
      </c>
      <c r="S38" s="1115" t="e">
        <f t="shared" si="10"/>
        <v>#N/A</v>
      </c>
      <c r="T38" s="1114" t="s">
        <v>61</v>
      </c>
      <c r="U38" s="1115" t="e">
        <f t="shared" si="11"/>
        <v>#N/A</v>
      </c>
      <c r="V38" s="1114" t="s">
        <v>61</v>
      </c>
      <c r="W38" s="1115" t="e">
        <f t="shared" si="12"/>
        <v>#N/A</v>
      </c>
      <c r="X38" s="1108"/>
      <c r="Y38" s="3489"/>
      <c r="Z38" s="1116" t="str">
        <f t="shared" si="13"/>
        <v>宗地面积</v>
      </c>
      <c r="AA38" s="1117" t="e">
        <f t="shared" si="3"/>
        <v>#N/A</v>
      </c>
      <c r="AB38" s="1117" t="e">
        <f t="shared" si="4"/>
        <v>#N/A</v>
      </c>
      <c r="AC38" s="1117"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89"/>
      <c r="Q39" s="1113" t="str">
        <f t="shared" ref="Q39:Q45" si="14">B39</f>
        <v>宗地形状</v>
      </c>
      <c r="R39" s="1114" t="s">
        <v>61</v>
      </c>
      <c r="S39" s="1115">
        <f t="shared" si="10"/>
        <v>100</v>
      </c>
      <c r="T39" s="1114" t="s">
        <v>61</v>
      </c>
      <c r="U39" s="1115">
        <f t="shared" si="11"/>
        <v>100</v>
      </c>
      <c r="V39" s="1114" t="s">
        <v>61</v>
      </c>
      <c r="W39" s="1115">
        <f t="shared" si="12"/>
        <v>100</v>
      </c>
      <c r="X39" s="1108"/>
      <c r="Y39" s="3489"/>
      <c r="Z39" s="1116" t="str">
        <f t="shared" si="13"/>
        <v>宗地形状</v>
      </c>
      <c r="AA39" s="1117">
        <f t="shared" si="3"/>
        <v>1</v>
      </c>
      <c r="AB39" s="1117">
        <f t="shared" si="4"/>
        <v>1</v>
      </c>
      <c r="AC39" s="1117">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89"/>
      <c r="Q40" s="1113" t="str">
        <f t="shared" si="14"/>
        <v>临街宽度及深度</v>
      </c>
      <c r="R40" s="1114" t="s">
        <v>61</v>
      </c>
      <c r="S40" s="1115">
        <f t="shared" si="10"/>
        <v>100</v>
      </c>
      <c r="T40" s="1114" t="s">
        <v>61</v>
      </c>
      <c r="U40" s="1115">
        <f t="shared" si="11"/>
        <v>100</v>
      </c>
      <c r="V40" s="1114" t="s">
        <v>61</v>
      </c>
      <c r="W40" s="1115">
        <f t="shared" si="12"/>
        <v>100</v>
      </c>
      <c r="X40" s="1108"/>
      <c r="Y40" s="3489"/>
      <c r="Z40" s="1116" t="str">
        <f t="shared" si="13"/>
        <v>临街宽度及深度</v>
      </c>
      <c r="AA40" s="1117">
        <f t="shared" si="3"/>
        <v>1</v>
      </c>
      <c r="AB40" s="1117">
        <f t="shared" si="4"/>
        <v>1</v>
      </c>
      <c r="AC40" s="1117">
        <f t="shared" si="5"/>
        <v>1</v>
      </c>
    </row>
    <row r="41" spans="1:29" s="218" customFormat="1" ht="15">
      <c r="A41" s="672"/>
      <c r="B41" s="2423"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89"/>
      <c r="Q41" s="1113" t="str">
        <f t="shared" si="14"/>
        <v>宗地开发程度</v>
      </c>
      <c r="R41" s="1109" t="s">
        <v>61</v>
      </c>
      <c r="S41" s="1110">
        <f t="shared" si="10"/>
        <v>100</v>
      </c>
      <c r="T41" s="1109" t="s">
        <v>61</v>
      </c>
      <c r="U41" s="1110">
        <f t="shared" si="11"/>
        <v>100</v>
      </c>
      <c r="V41" s="1109" t="s">
        <v>61</v>
      </c>
      <c r="W41" s="1110">
        <f t="shared" si="12"/>
        <v>100</v>
      </c>
      <c r="X41" s="1111"/>
      <c r="Y41" s="3489"/>
      <c r="Z41" s="206" t="str">
        <f t="shared" si="13"/>
        <v>宗地开发程度</v>
      </c>
      <c r="AA41" s="1112">
        <f t="shared" si="3"/>
        <v>1</v>
      </c>
      <c r="AB41" s="1112">
        <f t="shared" si="4"/>
        <v>1</v>
      </c>
      <c r="AC41" s="1112">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89" t="s">
        <v>423</v>
      </c>
      <c r="Q42" s="1113" t="str">
        <f t="shared" si="14"/>
        <v>工程地质条件</v>
      </c>
      <c r="R42" s="1114" t="s">
        <v>61</v>
      </c>
      <c r="S42" s="1115">
        <f t="shared" si="10"/>
        <v>100</v>
      </c>
      <c r="T42" s="1114" t="s">
        <v>61</v>
      </c>
      <c r="U42" s="1115">
        <f t="shared" si="11"/>
        <v>100</v>
      </c>
      <c r="V42" s="1114" t="s">
        <v>61</v>
      </c>
      <c r="W42" s="1115">
        <f t="shared" si="12"/>
        <v>100</v>
      </c>
      <c r="X42" s="1108"/>
      <c r="Y42" s="3489" t="s">
        <v>423</v>
      </c>
      <c r="Z42" s="1116" t="str">
        <f t="shared" si="13"/>
        <v>工程地质条件</v>
      </c>
      <c r="AA42" s="1117">
        <f t="shared" si="3"/>
        <v>1</v>
      </c>
      <c r="AB42" s="1117">
        <f t="shared" si="4"/>
        <v>1</v>
      </c>
      <c r="AC42" s="1117">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89"/>
      <c r="Q43" s="1113">
        <f t="shared" si="14"/>
        <v>111</v>
      </c>
      <c r="R43" s="1114" t="s">
        <v>61</v>
      </c>
      <c r="S43" s="1115">
        <f t="shared" si="10"/>
        <v>100</v>
      </c>
      <c r="T43" s="1114" t="s">
        <v>61</v>
      </c>
      <c r="U43" s="1115">
        <f t="shared" si="11"/>
        <v>100</v>
      </c>
      <c r="V43" s="1114" t="s">
        <v>61</v>
      </c>
      <c r="W43" s="1115">
        <f t="shared" si="12"/>
        <v>100</v>
      </c>
      <c r="X43" s="1108"/>
      <c r="Y43" s="3489"/>
      <c r="Z43" s="1116">
        <f t="shared" si="13"/>
        <v>111</v>
      </c>
      <c r="AA43" s="1117">
        <f t="shared" si="3"/>
        <v>1</v>
      </c>
      <c r="AB43" s="1117">
        <f t="shared" si="4"/>
        <v>1</v>
      </c>
      <c r="AC43" s="1117">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89"/>
      <c r="Q44" s="1113">
        <f t="shared" si="14"/>
        <v>111</v>
      </c>
      <c r="R44" s="1114" t="s">
        <v>61</v>
      </c>
      <c r="S44" s="1115">
        <f t="shared" si="10"/>
        <v>100</v>
      </c>
      <c r="T44" s="1114" t="s">
        <v>61</v>
      </c>
      <c r="U44" s="1115">
        <f t="shared" si="11"/>
        <v>100</v>
      </c>
      <c r="V44" s="1114" t="s">
        <v>61</v>
      </c>
      <c r="W44" s="1115">
        <f t="shared" si="12"/>
        <v>100</v>
      </c>
      <c r="X44" s="1108"/>
      <c r="Y44" s="3489"/>
      <c r="Z44" s="1116">
        <f t="shared" si="13"/>
        <v>111</v>
      </c>
      <c r="AA44" s="1117">
        <f t="shared" si="3"/>
        <v>1</v>
      </c>
      <c r="AB44" s="1117">
        <f t="shared" si="4"/>
        <v>1</v>
      </c>
      <c r="AC44" s="1117">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89"/>
      <c r="Q45" s="1113">
        <f t="shared" si="14"/>
        <v>111</v>
      </c>
      <c r="R45" s="1119" t="s">
        <v>61</v>
      </c>
      <c r="S45" s="1120">
        <f t="shared" si="10"/>
        <v>100</v>
      </c>
      <c r="T45" s="1119" t="s">
        <v>61</v>
      </c>
      <c r="U45" s="1120">
        <f t="shared" si="11"/>
        <v>100</v>
      </c>
      <c r="V45" s="1119" t="s">
        <v>61</v>
      </c>
      <c r="W45" s="1120">
        <f t="shared" si="12"/>
        <v>100</v>
      </c>
      <c r="X45" s="1121"/>
      <c r="Y45" s="3489"/>
      <c r="Z45" s="1122">
        <f t="shared" si="13"/>
        <v>111</v>
      </c>
      <c r="AA45" s="1117">
        <f t="shared" si="3"/>
        <v>1</v>
      </c>
      <c r="AB45" s="1117">
        <f t="shared" si="4"/>
        <v>1</v>
      </c>
      <c r="AC45" s="1117">
        <f t="shared" si="5"/>
        <v>1</v>
      </c>
    </row>
    <row r="46" spans="1:29" ht="15">
      <c r="A46" s="678" t="s">
        <v>502</v>
      </c>
      <c r="B46" s="159" t="s">
        <v>2894</v>
      </c>
      <c r="C46" s="953" t="s">
        <v>20</v>
      </c>
      <c r="D46" s="680"/>
      <c r="E46" s="681"/>
      <c r="F46" s="682"/>
      <c r="G46" s="683"/>
      <c r="H46" s="684"/>
      <c r="I46" s="681"/>
      <c r="J46" s="684"/>
      <c r="K46" s="1191"/>
      <c r="L46" s="2217"/>
      <c r="M46" s="2218"/>
      <c r="N46" s="2205"/>
      <c r="O46" s="2218"/>
      <c r="P46" s="3458" t="str">
        <f>A46</f>
        <v>成交单价</v>
      </c>
      <c r="Q46" s="3458"/>
      <c r="R46" s="3482">
        <f>E46</f>
        <v>0</v>
      </c>
      <c r="S46" s="3482"/>
      <c r="T46" s="3482">
        <f>G46</f>
        <v>0</v>
      </c>
      <c r="U46" s="3482"/>
      <c r="V46" s="3482">
        <f>I46</f>
        <v>0</v>
      </c>
      <c r="W46" s="3482"/>
      <c r="X46" s="1097"/>
      <c r="Y46" s="1123"/>
      <c r="Z46" s="1097"/>
      <c r="AA46" s="1097"/>
      <c r="AB46" s="1097"/>
      <c r="AC46" s="1097"/>
    </row>
    <row r="47" spans="1:29" ht="15.75" thickBot="1">
      <c r="A47" s="685" t="s">
        <v>425</v>
      </c>
      <c r="B47" s="954"/>
      <c r="C47" s="689" t="e">
        <f>R48</f>
        <v>#DIV/0!</v>
      </c>
      <c r="D47" s="688"/>
      <c r="E47" s="689" t="e">
        <f>R47</f>
        <v>#DIV/0!</v>
      </c>
      <c r="F47" s="690"/>
      <c r="G47" s="687" t="e">
        <f>T47</f>
        <v>#DIV/0!</v>
      </c>
      <c r="H47" s="688"/>
      <c r="I47" s="689" t="e">
        <f>V47</f>
        <v>#DIV/0!</v>
      </c>
      <c r="J47" s="688"/>
      <c r="K47" s="1192"/>
      <c r="L47" s="2217"/>
      <c r="M47" s="2218"/>
      <c r="N47" s="2218"/>
      <c r="O47" s="2218"/>
      <c r="P47" s="3458" t="str">
        <f>A47</f>
        <v>比较价值（元/平方米）</v>
      </c>
      <c r="Q47" s="3458"/>
      <c r="R47" s="3494" t="e">
        <f>ROUND(PRODUCT(R46,AA7:AA45),0)</f>
        <v>#DIV/0!</v>
      </c>
      <c r="S47" s="3494"/>
      <c r="T47" s="3494" t="e">
        <f>ROUND(PRODUCT(T46,AB7:AB45),0)</f>
        <v>#DIV/0!</v>
      </c>
      <c r="U47" s="3494"/>
      <c r="V47" s="3494" t="e">
        <f>ROUND(PRODUCT(V46,AC7:AC45),0)</f>
        <v>#DIV/0!</v>
      </c>
      <c r="W47" s="3494"/>
      <c r="X47" s="1097"/>
      <c r="Y47" s="1097"/>
      <c r="Z47" s="1097"/>
      <c r="AA47" s="1097"/>
      <c r="AB47" s="1097"/>
      <c r="AC47" s="1097"/>
    </row>
    <row r="48" spans="1:29" ht="15.75" thickBot="1">
      <c r="A48" s="62" t="s">
        <v>2887</v>
      </c>
      <c r="B48" s="692"/>
      <c r="C48" s="693" t="e">
        <f>R48</f>
        <v>#DIV/0!</v>
      </c>
      <c r="D48" s="693"/>
      <c r="E48" s="693"/>
      <c r="F48" s="693"/>
      <c r="G48" s="693"/>
      <c r="H48" s="693"/>
      <c r="I48" s="693"/>
      <c r="J48" s="693"/>
      <c r="K48" s="1193"/>
      <c r="L48" s="2217"/>
      <c r="M48" s="2218"/>
      <c r="N48" s="2218"/>
      <c r="O48" s="2218"/>
      <c r="P48" s="3491" t="str">
        <f>A48</f>
        <v>估价对象XX用房的比较价值（楼面单价，元/平方米）</v>
      </c>
      <c r="Q48" s="3492"/>
      <c r="R48" s="3495" t="e">
        <f>ROUND(AVERAGE(R47:V47),0)</f>
        <v>#DIV/0!</v>
      </c>
      <c r="S48" s="3495"/>
      <c r="T48" s="3495"/>
      <c r="U48" s="3495"/>
      <c r="V48" s="3495"/>
      <c r="W48" s="3495"/>
      <c r="X48" s="1097"/>
      <c r="Y48" s="1097"/>
      <c r="Z48" s="1097"/>
      <c r="AA48" s="1097"/>
      <c r="AB48" s="1097"/>
      <c r="AC48" s="1097"/>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0"/>
      <c r="D54" s="1099"/>
      <c r="E54" s="1099"/>
      <c r="F54" s="1099"/>
      <c r="G54" s="1099"/>
      <c r="H54" s="1099"/>
      <c r="I54" s="1099"/>
      <c r="J54" s="1099"/>
      <c r="K54" s="2224"/>
      <c r="L54" s="2225"/>
      <c r="M54" s="2220"/>
      <c r="N54" s="2220"/>
      <c r="O54" s="2220"/>
    </row>
    <row r="55" spans="1:15" ht="27">
      <c r="A55" s="955" t="s">
        <v>503</v>
      </c>
      <c r="B55" s="956" t="s">
        <v>504</v>
      </c>
      <c r="C55" s="1609" t="s">
        <v>1814</v>
      </c>
      <c r="D55" s="2264" t="s">
        <v>2229</v>
      </c>
      <c r="E55" s="957" t="s">
        <v>505</v>
      </c>
      <c r="F55" s="958" t="s">
        <v>506</v>
      </c>
      <c r="G55" s="1610" t="s">
        <v>1813</v>
      </c>
      <c r="H55" s="1610">
        <f>项目基本情况!G8</f>
        <v>0</v>
      </c>
      <c r="I55" s="1606" t="s">
        <v>1815</v>
      </c>
      <c r="J55" s="1098"/>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7">
        <v>1</v>
      </c>
      <c r="H56" s="1607">
        <v>1</v>
      </c>
      <c r="I56" s="2220"/>
      <c r="J56" s="2220"/>
      <c r="K56" s="2224"/>
      <c r="L56" s="2225"/>
      <c r="M56" s="2220"/>
      <c r="N56" s="2220"/>
      <c r="O56" s="1605"/>
    </row>
    <row r="57" spans="1:15" s="963" customFormat="1">
      <c r="A57" s="964" t="s">
        <v>508</v>
      </c>
      <c r="B57" s="395" t="e">
        <f>ROUND($C$48*C57*D57,0)</f>
        <v>#DIV/0!</v>
      </c>
      <c r="C57" s="334">
        <f>IF($C$55="北京市系数",G57,H57)</f>
        <v>0.8</v>
      </c>
      <c r="D57" s="2263">
        <v>0.25</v>
      </c>
      <c r="E57" s="965">
        <v>0</v>
      </c>
      <c r="F57" s="962" t="e">
        <f t="shared" si="15"/>
        <v>#DIV/0!</v>
      </c>
      <c r="G57" s="1607">
        <f>SUMIF(修正!$A$45:$A$56,项目基本情况!$F$9,修正!B45:B56)</f>
        <v>0.8</v>
      </c>
      <c r="H57" s="1608"/>
      <c r="I57" s="2218"/>
      <c r="J57" s="2223"/>
      <c r="K57" s="2219"/>
      <c r="L57" s="2219"/>
      <c r="M57" s="2218"/>
      <c r="N57" s="2218"/>
      <c r="O57" s="1605"/>
    </row>
    <row r="58" spans="1:15" s="963" customFormat="1">
      <c r="A58" s="964" t="s">
        <v>509</v>
      </c>
      <c r="B58" s="395" t="e">
        <f t="shared" ref="B58:B65" si="16">ROUND($C$48*C58*D58,0)</f>
        <v>#DIV/0!</v>
      </c>
      <c r="C58" s="334">
        <f t="shared" ref="C58:C65" si="17">IF($C$55="北京市系数",G58,H58)</f>
        <v>0.5</v>
      </c>
      <c r="D58" s="2263">
        <v>0.25</v>
      </c>
      <c r="E58" s="965">
        <v>0</v>
      </c>
      <c r="F58" s="962" t="e">
        <f t="shared" si="15"/>
        <v>#DIV/0!</v>
      </c>
      <c r="G58" s="1607">
        <f>SUMIF(修正!$A$45:$A$56,项目基本情况!$F$9,修正!C45:C56)</f>
        <v>0.5</v>
      </c>
      <c r="H58" s="1608"/>
      <c r="I58" s="2220"/>
      <c r="J58" s="2220"/>
      <c r="K58" s="2224"/>
      <c r="L58" s="2225"/>
      <c r="M58" s="2220"/>
      <c r="N58" s="2220"/>
      <c r="O58" s="1605"/>
    </row>
    <row r="59" spans="1:15" s="963" customFormat="1">
      <c r="A59" s="964" t="s">
        <v>510</v>
      </c>
      <c r="B59" s="395" t="e">
        <f t="shared" si="16"/>
        <v>#DIV/0!</v>
      </c>
      <c r="C59" s="334">
        <f t="shared" si="17"/>
        <v>0.36</v>
      </c>
      <c r="D59" s="2263">
        <v>0.25</v>
      </c>
      <c r="E59" s="965">
        <v>0</v>
      </c>
      <c r="F59" s="962" t="e">
        <f t="shared" si="15"/>
        <v>#DIV/0!</v>
      </c>
      <c r="G59" s="1607">
        <f>SUMIF(修正!$A$45:$A$56,项目基本情况!$F$9,修正!D45:D56)</f>
        <v>0.36</v>
      </c>
      <c r="H59" s="1608"/>
      <c r="I59" s="2218"/>
      <c r="J59" s="2223"/>
      <c r="K59" s="2219"/>
      <c r="L59" s="2219"/>
      <c r="M59" s="2218"/>
      <c r="N59" s="2218"/>
      <c r="O59" s="1605"/>
    </row>
    <row r="60" spans="1:15" s="963" customFormat="1">
      <c r="A60" s="964" t="s">
        <v>511</v>
      </c>
      <c r="B60" s="395" t="e">
        <f t="shared" si="16"/>
        <v>#DIV/0!</v>
      </c>
      <c r="C60" s="334">
        <f t="shared" si="17"/>
        <v>0.3</v>
      </c>
      <c r="D60" s="2263">
        <v>0.25</v>
      </c>
      <c r="E60" s="965">
        <v>0</v>
      </c>
      <c r="F60" s="962" t="e">
        <f t="shared" si="15"/>
        <v>#DIV/0!</v>
      </c>
      <c r="G60" s="1607">
        <f>SUMIF(修正!$A$45:$A$56,项目基本情况!$F$9,修正!E45:E56)</f>
        <v>0.3</v>
      </c>
      <c r="H60" s="1608"/>
      <c r="I60" s="2220"/>
      <c r="J60" s="2220"/>
      <c r="K60" s="2224"/>
      <c r="L60" s="2225"/>
      <c r="M60" s="2220"/>
      <c r="N60" s="2220"/>
      <c r="O60" s="1605"/>
    </row>
    <row r="61" spans="1:15" s="963" customFormat="1">
      <c r="A61" s="964" t="s">
        <v>512</v>
      </c>
      <c r="B61" s="395" t="e">
        <f t="shared" si="16"/>
        <v>#DIV/0!</v>
      </c>
      <c r="C61" s="334">
        <f t="shared" si="17"/>
        <v>0.3</v>
      </c>
      <c r="D61" s="2263">
        <v>0.25</v>
      </c>
      <c r="E61" s="965">
        <v>0</v>
      </c>
      <c r="F61" s="962" t="e">
        <f t="shared" si="15"/>
        <v>#DIV/0!</v>
      </c>
      <c r="G61" s="1607">
        <f>SUMIF(修正!A45:A56,项目基本情况!F9,修正!F45:F56)</f>
        <v>0.3</v>
      </c>
      <c r="H61" s="1608"/>
      <c r="I61" s="2218"/>
      <c r="J61" s="2223"/>
      <c r="K61" s="2219"/>
      <c r="L61" s="2219"/>
      <c r="M61" s="2218"/>
      <c r="N61" s="2218"/>
      <c r="O61" s="1605"/>
    </row>
    <row r="62" spans="1:15" s="963" customFormat="1">
      <c r="A62" s="964" t="s">
        <v>513</v>
      </c>
      <c r="B62" s="395" t="e">
        <f t="shared" si="16"/>
        <v>#DIV/0!</v>
      </c>
      <c r="C62" s="334">
        <f t="shared" si="17"/>
        <v>0.3</v>
      </c>
      <c r="D62" s="2263">
        <v>0.25</v>
      </c>
      <c r="E62" s="965">
        <v>0</v>
      </c>
      <c r="F62" s="962" t="e">
        <f t="shared" si="15"/>
        <v>#DIV/0!</v>
      </c>
      <c r="G62" s="1607">
        <f>SUMIF(修正!A45:A56,项目基本情况!F9,修正!G45:G56)</f>
        <v>0.3</v>
      </c>
      <c r="H62" s="1608"/>
      <c r="I62" s="2220"/>
      <c r="J62" s="2220"/>
      <c r="K62" s="2224"/>
      <c r="L62" s="2225"/>
      <c r="M62" s="2220"/>
      <c r="N62" s="2220"/>
      <c r="O62" s="1605"/>
    </row>
    <row r="63" spans="1:15" s="963" customFormat="1">
      <c r="A63" s="964" t="s">
        <v>514</v>
      </c>
      <c r="B63" s="395" t="e">
        <f t="shared" si="16"/>
        <v>#DIV/0!</v>
      </c>
      <c r="C63" s="334">
        <f>IF($C$55="北京市系数",G63,H63)</f>
        <v>0.25</v>
      </c>
      <c r="D63" s="2263">
        <v>0.25</v>
      </c>
      <c r="E63" s="965">
        <v>0</v>
      </c>
      <c r="F63" s="962" t="e">
        <f t="shared" si="15"/>
        <v>#DIV/0!</v>
      </c>
      <c r="G63" s="1607">
        <f>SUMIF(修正!A45:A56,项目基本情况!F9,修正!H45:H56)</f>
        <v>0.25</v>
      </c>
      <c r="H63" s="1608"/>
      <c r="I63" s="2218"/>
      <c r="J63" s="2223"/>
      <c r="K63" s="2219"/>
      <c r="L63" s="2219"/>
      <c r="M63" s="2218"/>
      <c r="N63" s="2218"/>
      <c r="O63" s="1605"/>
    </row>
    <row r="64" spans="1:15" s="963" customFormat="1">
      <c r="A64" s="964" t="s">
        <v>515</v>
      </c>
      <c r="B64" s="395" t="e">
        <f t="shared" si="16"/>
        <v>#DIV/0!</v>
      </c>
      <c r="C64" s="334">
        <f t="shared" si="17"/>
        <v>0.25</v>
      </c>
      <c r="D64" s="2263">
        <v>0.25</v>
      </c>
      <c r="E64" s="965">
        <v>0</v>
      </c>
      <c r="F64" s="962" t="e">
        <f t="shared" si="15"/>
        <v>#DIV/0!</v>
      </c>
      <c r="G64" s="1607">
        <f>G63</f>
        <v>0.25</v>
      </c>
      <c r="H64" s="1608"/>
      <c r="I64" s="2220"/>
      <c r="J64" s="2220"/>
      <c r="K64" s="2224"/>
      <c r="L64" s="2225"/>
      <c r="M64" s="2220"/>
      <c r="N64" s="2220"/>
      <c r="O64" s="1605"/>
    </row>
    <row r="65" spans="1:17" s="963" customFormat="1">
      <c r="A65" s="964" t="s">
        <v>516</v>
      </c>
      <c r="B65" s="395" t="e">
        <f t="shared" si="16"/>
        <v>#DIV/0!</v>
      </c>
      <c r="C65" s="334">
        <f t="shared" si="17"/>
        <v>0.25</v>
      </c>
      <c r="D65" s="2263">
        <v>0.25</v>
      </c>
      <c r="E65" s="965">
        <v>0</v>
      </c>
      <c r="F65" s="962" t="e">
        <f t="shared" si="15"/>
        <v>#DIV/0!</v>
      </c>
      <c r="G65" s="1607">
        <f>G63</f>
        <v>0.25</v>
      </c>
      <c r="H65" s="1608"/>
      <c r="I65" s="2218"/>
      <c r="J65" s="2223"/>
      <c r="K65" s="2219"/>
      <c r="L65" s="2219"/>
      <c r="M65" s="2218"/>
      <c r="N65" s="2218"/>
      <c r="O65" s="1605"/>
    </row>
    <row r="66" spans="1:17" s="963" customFormat="1" ht="13.5" thickBot="1">
      <c r="A66" s="967" t="s">
        <v>517</v>
      </c>
      <c r="B66" s="968" t="s">
        <v>158</v>
      </c>
      <c r="C66" s="968" t="s">
        <v>159</v>
      </c>
      <c r="D66" s="968" t="s">
        <v>139</v>
      </c>
      <c r="E66" s="968">
        <f>SUM(E56:E65)</f>
        <v>120</v>
      </c>
      <c r="F66" s="969" t="e">
        <f>SUM(F56:F65)</f>
        <v>#DIV/0!</v>
      </c>
      <c r="G66" s="1207"/>
      <c r="H66" s="1207"/>
      <c r="I66" s="2231"/>
      <c r="J66" s="2231"/>
      <c r="K66" s="2231"/>
      <c r="L66" s="1605"/>
      <c r="M66" s="1605"/>
      <c r="N66" s="1605"/>
      <c r="O66" s="1605"/>
    </row>
    <row r="67" spans="1:17">
      <c r="A67" s="2218"/>
      <c r="B67" s="2221"/>
      <c r="C67" s="2226"/>
      <c r="D67" s="2218"/>
      <c r="E67" s="2218"/>
      <c r="F67" s="2218"/>
      <c r="G67" s="2218"/>
      <c r="H67" s="2218"/>
      <c r="I67" s="2218"/>
      <c r="J67" s="2218"/>
      <c r="K67" s="2223"/>
      <c r="L67" s="2219"/>
      <c r="M67" s="2218"/>
      <c r="N67" s="2218"/>
      <c r="O67" s="2218"/>
    </row>
    <row r="68" spans="1:17" s="2797" customFormat="1">
      <c r="A68" s="1097"/>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1" t="s">
        <v>429</v>
      </c>
      <c r="B69" s="1097"/>
      <c r="C69" s="1102"/>
      <c r="D69" s="1102"/>
      <c r="E69" s="1102"/>
      <c r="F69" s="1103"/>
      <c r="G69" s="1103"/>
      <c r="H69" s="1102"/>
      <c r="I69" s="2234"/>
      <c r="J69" s="2234"/>
      <c r="K69" s="2232"/>
      <c r="L69" s="2233"/>
      <c r="M69" s="2234"/>
      <c r="N69" s="2234"/>
      <c r="O69" s="2234"/>
      <c r="P69" s="702"/>
      <c r="Q69" s="703"/>
    </row>
    <row r="70" spans="1:17" s="2799" customFormat="1" ht="15">
      <c r="A70" s="2530" t="s">
        <v>2661</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2421</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1951</v>
      </c>
      <c r="B1" s="1757"/>
      <c r="C1" s="1757"/>
      <c r="D1" s="1757"/>
      <c r="E1" s="1757"/>
      <c r="F1" s="1757"/>
      <c r="G1" s="1757"/>
    </row>
    <row r="2" spans="1:7">
      <c r="A2" s="1856"/>
    </row>
    <row r="3" spans="1:7" s="2022" customFormat="1" ht="18.75">
      <c r="A3" s="2021" t="str">
        <f>IF(ISNUMBER(FIND("公司",项目基本情况!B4)),项目基本情况!B4&amp;"：",项目基本情况!B4&amp;"  先生/女士：")</f>
        <v>北京和伊华国际贸易发展有限责任公司：</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受贵公司委托，我公司对北京市房地产进行了预评估。</v>
      </c>
      <c r="B4" s="1756"/>
      <c r="C4" s="1756"/>
      <c r="D4" s="1756"/>
      <c r="E4" s="1756"/>
      <c r="F4" s="1756"/>
      <c r="G4" s="1756"/>
    </row>
    <row r="5" spans="1:7" ht="18.75">
      <c r="A5" s="1751" t="s">
        <v>1953</v>
      </c>
    </row>
    <row r="6" spans="1:7" s="169" customFormat="1" ht="37.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估价对象为北京市房地产，为李明德所有。根据《房屋所有权证》[]，估价对象建筑面积为255.46平方米。估价对象用途为办公。</v>
      </c>
      <c r="B6" s="1756"/>
      <c r="C6" s="1756"/>
      <c r="D6" s="1756"/>
      <c r="E6" s="1756"/>
      <c r="F6" s="1756"/>
      <c r="G6" s="1756"/>
    </row>
    <row r="7" spans="1:7" ht="18.75">
      <c r="A7" s="1751" t="s">
        <v>1954</v>
      </c>
    </row>
    <row r="8" spans="1:7" ht="37.5">
      <c r="A8" s="1857" t="str">
        <f>IF(项目基本情况!D4="抵押",IF(项目基本情况!B4=项目基本情况!B5,定义!C51,定义!B51),定义!D51)</f>
        <v>为估价委托人在向华夏银行股份有限公司北京车公庄支行办理贷款手续过程中，确定房地产抵押贷款额度提供参考依据而评估房地产抵押价值。</v>
      </c>
      <c r="B8" s="1763"/>
      <c r="C8" s="1756"/>
      <c r="D8" s="1756"/>
      <c r="E8" s="1756"/>
      <c r="F8" s="1756"/>
      <c r="G8" s="1756"/>
    </row>
    <row r="9" spans="1:7" ht="18.75">
      <c r="A9" s="1752" t="s">
        <v>1955</v>
      </c>
      <c r="B9" s="1792"/>
    </row>
    <row r="10" spans="1:7" ht="18.75">
      <c r="A10" s="1753" t="str">
        <f>TEXT(项目基本情况!D2,"yyyy年m月d日;;")&amp;IF(项目基本情况!B2=项目基本情况!D2,"（评估专业人员实地查勘之日）","")</f>
        <v>2017年9月20日（评估专业人员实地查勘之日）</v>
      </c>
      <c r="B10" s="1754"/>
      <c r="C10" s="1754"/>
      <c r="D10" s="1754"/>
      <c r="E10" s="1754"/>
      <c r="F10" s="1754"/>
      <c r="G10" s="1754"/>
    </row>
    <row r="11" spans="1:7" ht="18.75">
      <c r="A11" s="1752" t="s">
        <v>1956</v>
      </c>
    </row>
    <row r="12" spans="1:7" ht="75">
      <c r="A12" s="1756" t="s">
        <v>2722</v>
      </c>
      <c r="B12" s="1756"/>
      <c r="C12" s="1756"/>
      <c r="D12" s="1756"/>
      <c r="E12" s="1756"/>
      <c r="F12" s="1756"/>
      <c r="G12" s="1756"/>
    </row>
    <row r="13" spans="1:7" ht="56.25">
      <c r="A13" s="175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本次估价的“房地产价值”是指在正常市场情况下，在价值时点2017年9月20日，估价对象规划用途为办公，假定未设立法定优先受偿款下的房地产市场价值。</v>
      </c>
      <c r="B13" s="1756"/>
      <c r="C13" s="1756"/>
      <c r="D13" s="1756"/>
      <c r="E13" s="1756"/>
      <c r="F13" s="1756"/>
      <c r="G13" s="1756"/>
    </row>
    <row r="14" spans="1:7" ht="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8"/>
      <c r="C14" s="1758"/>
      <c r="D14" s="1758"/>
      <c r="E14" s="1758"/>
      <c r="F14" s="1758"/>
      <c r="G14" s="1758"/>
    </row>
    <row r="15" spans="1:7" ht="75">
      <c r="A15" s="1756" t="s">
        <v>2914</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1962</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row>
    <row r="2" spans="1:29" s="595" customFormat="1" ht="28.5" customHeight="1">
      <c r="A2" s="382" t="s">
        <v>359</v>
      </c>
      <c r="B2" s="942" t="e">
        <f>F61</f>
        <v>#DIV/0!</v>
      </c>
      <c r="C2" s="1970" t="s">
        <v>2203</v>
      </c>
      <c r="D2" s="1637"/>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360</v>
      </c>
      <c r="B3" s="811" t="e">
        <f>ROUND(B2/'数据-取费表'!B5,0)</f>
        <v>#DIV/0!</v>
      </c>
      <c r="C3" s="1091" t="s">
        <v>2204</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404</v>
      </c>
      <c r="B4" s="599"/>
      <c r="C4" s="3466" t="s">
        <v>405</v>
      </c>
      <c r="D4" s="3467"/>
      <c r="E4" s="3468" t="s">
        <v>406</v>
      </c>
      <c r="F4" s="3469"/>
      <c r="G4" s="3466" t="s">
        <v>407</v>
      </c>
      <c r="H4" s="3467"/>
      <c r="I4" s="3466" t="s">
        <v>408</v>
      </c>
      <c r="J4" s="3467"/>
      <c r="K4" s="812" t="s">
        <v>409</v>
      </c>
      <c r="L4" s="2204"/>
      <c r="M4" s="2205"/>
      <c r="N4" s="2205"/>
      <c r="O4" s="2205"/>
      <c r="P4" s="3470" t="s">
        <v>410</v>
      </c>
      <c r="Q4" s="3471"/>
      <c r="R4" s="3476" t="s">
        <v>406</v>
      </c>
      <c r="S4" s="3477"/>
      <c r="T4" s="3476" t="s">
        <v>407</v>
      </c>
      <c r="U4" s="3477"/>
      <c r="V4" s="3482" t="s">
        <v>408</v>
      </c>
      <c r="W4" s="3482"/>
      <c r="X4" s="1108"/>
      <c r="Y4" s="3476" t="s">
        <v>410</v>
      </c>
      <c r="Z4" s="3477"/>
      <c r="AA4" s="3463" t="s">
        <v>406</v>
      </c>
      <c r="AB4" s="3464" t="s">
        <v>407</v>
      </c>
      <c r="AC4" s="3463" t="s">
        <v>408</v>
      </c>
    </row>
    <row r="5" spans="1:29" ht="15">
      <c r="A5" s="601"/>
      <c r="B5" s="602"/>
      <c r="C5" s="3420" t="s">
        <v>1044</v>
      </c>
      <c r="D5" s="3421"/>
      <c r="E5" s="3418" t="s">
        <v>1045</v>
      </c>
      <c r="F5" s="3419"/>
      <c r="G5" s="3420" t="s">
        <v>1048</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29"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29" s="218" customFormat="1" ht="15.75" thickBot="1">
      <c r="A7" s="605" t="s">
        <v>412</v>
      </c>
      <c r="B7" s="606"/>
      <c r="C7" s="607">
        <f>'数据-取费表'!B2</f>
        <v>42998</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61" t="s">
        <v>413</v>
      </c>
      <c r="Q7" s="3485"/>
      <c r="R7" s="1109" t="s">
        <v>61</v>
      </c>
      <c r="S7" s="1110">
        <f t="shared" ref="S7:S15" si="0">F7</f>
        <v>0</v>
      </c>
      <c r="T7" s="1109" t="s">
        <v>61</v>
      </c>
      <c r="U7" s="1110">
        <f t="shared" ref="U7:U15" si="1">H7</f>
        <v>0</v>
      </c>
      <c r="V7" s="1109" t="s">
        <v>61</v>
      </c>
      <c r="W7" s="1110">
        <f t="shared" ref="W7:W15" si="2">J7</f>
        <v>0</v>
      </c>
      <c r="X7" s="1111"/>
      <c r="Y7" s="3461" t="s">
        <v>413</v>
      </c>
      <c r="Z7" s="3462"/>
      <c r="AA7" s="1112" t="e">
        <f>D7/F7</f>
        <v>#DIV/0!</v>
      </c>
      <c r="AB7" s="1112" t="e">
        <f>D7/H7</f>
        <v>#DIV/0!</v>
      </c>
      <c r="AC7" s="1112"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40" si="3">D8/F8</f>
        <v>#DIV/0!</v>
      </c>
      <c r="AB8" s="1112" t="e">
        <f t="shared" ref="AB8:AB40" si="4">D8/H8</f>
        <v>#DIV/0!</v>
      </c>
      <c r="AC8" s="1112"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58" t="s">
        <v>416</v>
      </c>
      <c r="Q9" s="192" t="str">
        <f t="shared" ref="Q9:Q15" si="6">B9</f>
        <v>用途</v>
      </c>
      <c r="R9" s="1109" t="s">
        <v>61</v>
      </c>
      <c r="S9" s="1110">
        <f t="shared" si="0"/>
        <v>100</v>
      </c>
      <c r="T9" s="1109" t="s">
        <v>61</v>
      </c>
      <c r="U9" s="1110">
        <f t="shared" si="1"/>
        <v>100</v>
      </c>
      <c r="V9" s="1109" t="s">
        <v>61</v>
      </c>
      <c r="W9" s="1110">
        <f t="shared" si="2"/>
        <v>100</v>
      </c>
      <c r="X9" s="1111"/>
      <c r="Y9" s="3300" t="s">
        <v>417</v>
      </c>
      <c r="Z9" s="206" t="str">
        <f t="shared" ref="Z9:Z15" si="7">Q9</f>
        <v>用途</v>
      </c>
      <c r="AA9" s="1112">
        <f t="shared" si="3"/>
        <v>1</v>
      </c>
      <c r="AB9" s="1112">
        <f t="shared" si="4"/>
        <v>1</v>
      </c>
      <c r="AC9" s="1112">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3"/>
      <c r="L10" s="2209"/>
      <c r="M10" s="2210"/>
      <c r="N10" s="2210"/>
      <c r="O10" s="2211"/>
      <c r="P10" s="3458"/>
      <c r="Q10" s="192" t="str">
        <f t="shared" si="6"/>
        <v>土地使用年限（年）</v>
      </c>
      <c r="R10" s="1109" t="s">
        <v>61</v>
      </c>
      <c r="S10" s="1110">
        <f t="shared" si="0"/>
        <v>104</v>
      </c>
      <c r="T10" s="1109" t="s">
        <v>61</v>
      </c>
      <c r="U10" s="1110">
        <f t="shared" si="1"/>
        <v>104</v>
      </c>
      <c r="V10" s="1109" t="s">
        <v>61</v>
      </c>
      <c r="W10" s="1110">
        <f t="shared" si="2"/>
        <v>104</v>
      </c>
      <c r="X10" s="1111"/>
      <c r="Y10" s="3300"/>
      <c r="Z10" s="206" t="str">
        <f t="shared" si="7"/>
        <v>土地使用年限（年）</v>
      </c>
      <c r="AA10" s="1112">
        <f t="shared" si="3"/>
        <v>0.96153846153846156</v>
      </c>
      <c r="AB10" s="1112">
        <f t="shared" si="4"/>
        <v>0.96153846153846156</v>
      </c>
      <c r="AC10" s="1112">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58"/>
      <c r="Q11" s="192" t="str">
        <f t="shared" si="6"/>
        <v>容积率</v>
      </c>
      <c r="R11" s="1109" t="s">
        <v>61</v>
      </c>
      <c r="S11" s="1110" t="e">
        <f t="shared" si="0"/>
        <v>#N/A</v>
      </c>
      <c r="T11" s="1109" t="s">
        <v>61</v>
      </c>
      <c r="U11" s="1110" t="e">
        <f t="shared" si="1"/>
        <v>#N/A</v>
      </c>
      <c r="V11" s="1109" t="s">
        <v>61</v>
      </c>
      <c r="W11" s="1110" t="e">
        <f t="shared" si="2"/>
        <v>#N/A</v>
      </c>
      <c r="X11" s="1111"/>
      <c r="Y11" s="3300"/>
      <c r="Z11" s="206" t="str">
        <f t="shared" si="7"/>
        <v>容积率</v>
      </c>
      <c r="AA11" s="1112" t="e">
        <f t="shared" si="3"/>
        <v>#N/A</v>
      </c>
      <c r="AB11" s="1112" t="e">
        <f t="shared" si="4"/>
        <v>#N/A</v>
      </c>
      <c r="AC11" s="1112"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58"/>
      <c r="Q12" s="192">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58"/>
      <c r="Q14" s="192">
        <f t="shared" si="6"/>
        <v>111</v>
      </c>
      <c r="R14" s="1109" t="s">
        <v>61</v>
      </c>
      <c r="S14" s="1110">
        <f t="shared" si="0"/>
        <v>100</v>
      </c>
      <c r="T14" s="1109" t="s">
        <v>61</v>
      </c>
      <c r="U14" s="1110">
        <f t="shared" si="1"/>
        <v>100</v>
      </c>
      <c r="V14" s="1109" t="s">
        <v>61</v>
      </c>
      <c r="W14" s="1110">
        <f t="shared" si="2"/>
        <v>100</v>
      </c>
      <c r="X14" s="1111"/>
      <c r="Y14" s="3300"/>
      <c r="Z14" s="206">
        <f t="shared" si="7"/>
        <v>111</v>
      </c>
      <c r="AA14" s="1112">
        <f t="shared" si="3"/>
        <v>1</v>
      </c>
      <c r="AB14" s="1112">
        <f t="shared" si="4"/>
        <v>1</v>
      </c>
      <c r="AC14" s="1112">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86" t="s">
        <v>421</v>
      </c>
      <c r="Q15" s="1113" t="str">
        <f t="shared" si="6"/>
        <v>产业集聚程度</v>
      </c>
      <c r="R15" s="1114" t="s">
        <v>61</v>
      </c>
      <c r="S15" s="1115">
        <f t="shared" si="0"/>
        <v>100</v>
      </c>
      <c r="T15" s="1114" t="s">
        <v>61</v>
      </c>
      <c r="U15" s="1115">
        <f t="shared" si="1"/>
        <v>100</v>
      </c>
      <c r="V15" s="1114" t="s">
        <v>61</v>
      </c>
      <c r="W15" s="1115">
        <f t="shared" si="2"/>
        <v>100</v>
      </c>
      <c r="X15" s="1108"/>
      <c r="Y15" s="3486" t="s">
        <v>421</v>
      </c>
      <c r="Z15" s="1116" t="str">
        <f t="shared" si="7"/>
        <v>产业集聚程度</v>
      </c>
      <c r="AA15" s="1117">
        <f t="shared" si="3"/>
        <v>1</v>
      </c>
      <c r="AB15" s="1117">
        <f t="shared" si="4"/>
        <v>1</v>
      </c>
      <c r="AC15" s="1117">
        <f t="shared" si="5"/>
        <v>1</v>
      </c>
    </row>
    <row r="16" spans="1:29" ht="15">
      <c r="A16" s="626"/>
      <c r="B16" s="832"/>
      <c r="C16" s="44"/>
      <c r="D16" s="645"/>
      <c r="E16" s="144"/>
      <c r="F16" s="645"/>
      <c r="G16" s="144"/>
      <c r="H16" s="648"/>
      <c r="I16" s="144"/>
      <c r="J16" s="645"/>
      <c r="K16" s="943"/>
      <c r="L16" s="2214"/>
      <c r="M16" s="2205"/>
      <c r="N16" s="2205"/>
      <c r="O16" s="2213"/>
      <c r="P16" s="3487"/>
      <c r="Q16" s="1113"/>
      <c r="R16" s="1114"/>
      <c r="S16" s="1115"/>
      <c r="T16" s="1114"/>
      <c r="U16" s="1115"/>
      <c r="V16" s="1114"/>
      <c r="W16" s="1115"/>
      <c r="X16" s="1108"/>
      <c r="Y16" s="3487"/>
      <c r="Z16" s="1116"/>
      <c r="AA16" s="1117">
        <v>1</v>
      </c>
      <c r="AB16" s="1117">
        <v>1</v>
      </c>
      <c r="AC16" s="1117">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87"/>
      <c r="Q17" s="1113" t="str">
        <f>B17</f>
        <v>交通便捷度</v>
      </c>
      <c r="R17" s="1114" t="s">
        <v>61</v>
      </c>
      <c r="S17" s="1115">
        <f>F17</f>
        <v>100</v>
      </c>
      <c r="T17" s="1114" t="s">
        <v>61</v>
      </c>
      <c r="U17" s="1115">
        <f>H17</f>
        <v>100</v>
      </c>
      <c r="V17" s="1114" t="s">
        <v>61</v>
      </c>
      <c r="W17" s="1115">
        <f>J17</f>
        <v>100</v>
      </c>
      <c r="X17" s="1108"/>
      <c r="Y17" s="3487"/>
      <c r="Z17" s="1116" t="str">
        <f>Q17</f>
        <v>交通便捷度</v>
      </c>
      <c r="AA17" s="1117">
        <f t="shared" si="3"/>
        <v>1</v>
      </c>
      <c r="AB17" s="1117">
        <f t="shared" si="4"/>
        <v>1</v>
      </c>
      <c r="AC17" s="1117">
        <f t="shared" si="5"/>
        <v>1</v>
      </c>
    </row>
    <row r="18" spans="1:29" ht="15">
      <c r="A18" s="626"/>
      <c r="B18" s="834"/>
      <c r="C18" s="44"/>
      <c r="D18" s="645"/>
      <c r="E18" s="45"/>
      <c r="F18" s="645"/>
      <c r="G18" s="45"/>
      <c r="H18" s="645"/>
      <c r="I18" s="46"/>
      <c r="J18" s="645"/>
      <c r="K18" s="943"/>
      <c r="L18" s="2214"/>
      <c r="M18" s="2205"/>
      <c r="N18" s="2205"/>
      <c r="O18" s="2213"/>
      <c r="P18" s="3487"/>
      <c r="Q18" s="1113"/>
      <c r="R18" s="1114"/>
      <c r="S18" s="1115"/>
      <c r="T18" s="1114"/>
      <c r="U18" s="1115"/>
      <c r="V18" s="1114"/>
      <c r="W18" s="1115"/>
      <c r="X18" s="1108"/>
      <c r="Y18" s="3487"/>
      <c r="Z18" s="1116"/>
      <c r="AA18" s="1117">
        <v>1</v>
      </c>
      <c r="AB18" s="1117">
        <v>1</v>
      </c>
      <c r="AC18" s="1117">
        <v>1</v>
      </c>
    </row>
    <row r="19" spans="1:29" ht="27">
      <c r="A19" s="626"/>
      <c r="B19" s="833" t="s">
        <v>1773</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87"/>
      <c r="Q19" s="1113" t="str">
        <f t="shared" ref="Q19:Q33" si="8">B19</f>
        <v>区域土地利用方向</v>
      </c>
      <c r="R19" s="1114" t="s">
        <v>61</v>
      </c>
      <c r="S19" s="1115">
        <f>F19</f>
        <v>100</v>
      </c>
      <c r="T19" s="1114" t="s">
        <v>61</v>
      </c>
      <c r="U19" s="1115">
        <f>H19</f>
        <v>100</v>
      </c>
      <c r="V19" s="1114" t="s">
        <v>61</v>
      </c>
      <c r="W19" s="1115">
        <f>J19</f>
        <v>100</v>
      </c>
      <c r="X19" s="1108"/>
      <c r="Y19" s="3487"/>
      <c r="Z19" s="1116" t="str">
        <f>Q19</f>
        <v>区域土地利用方向</v>
      </c>
      <c r="AA19" s="1117">
        <f t="shared" si="3"/>
        <v>1</v>
      </c>
      <c r="AB19" s="1117">
        <f t="shared" si="4"/>
        <v>1</v>
      </c>
      <c r="AC19" s="1117">
        <f t="shared" si="5"/>
        <v>1</v>
      </c>
    </row>
    <row r="20" spans="1:29" ht="15">
      <c r="A20" s="601"/>
      <c r="B20" s="834"/>
      <c r="C20" s="44"/>
      <c r="D20" s="645"/>
      <c r="E20" s="45"/>
      <c r="F20" s="645"/>
      <c r="G20" s="45"/>
      <c r="H20" s="645"/>
      <c r="I20" s="45"/>
      <c r="J20" s="645"/>
      <c r="K20" s="1288"/>
      <c r="L20" s="2214"/>
      <c r="M20" s="2205"/>
      <c r="N20" s="2205"/>
      <c r="O20" s="2213"/>
      <c r="P20" s="3487"/>
      <c r="Q20" s="1281"/>
      <c r="R20" s="1114"/>
      <c r="S20" s="1115"/>
      <c r="T20" s="1114"/>
      <c r="U20" s="1115"/>
      <c r="V20" s="1114"/>
      <c r="W20" s="1115"/>
      <c r="X20" s="1280"/>
      <c r="Y20" s="3487"/>
      <c r="Z20" s="1282"/>
      <c r="AA20" s="1117"/>
      <c r="AB20" s="1117"/>
      <c r="AC20" s="1117"/>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87"/>
      <c r="Q21" s="1113" t="str">
        <f t="shared" si="8"/>
        <v>环境状况</v>
      </c>
      <c r="R21" s="1114" t="s">
        <v>61</v>
      </c>
      <c r="S21" s="1115">
        <f>F21</f>
        <v>100</v>
      </c>
      <c r="T21" s="1114" t="s">
        <v>61</v>
      </c>
      <c r="U21" s="1115">
        <f>H21</f>
        <v>100</v>
      </c>
      <c r="V21" s="1114" t="s">
        <v>61</v>
      </c>
      <c r="W21" s="1115">
        <f>J21</f>
        <v>100</v>
      </c>
      <c r="X21" s="1108"/>
      <c r="Y21" s="3487"/>
      <c r="Z21" s="1116" t="str">
        <f>Q21</f>
        <v>环境状况</v>
      </c>
      <c r="AA21" s="1117">
        <f t="shared" si="3"/>
        <v>1</v>
      </c>
      <c r="AB21" s="1117">
        <f t="shared" si="4"/>
        <v>1</v>
      </c>
      <c r="AC21" s="1117">
        <f t="shared" si="5"/>
        <v>1</v>
      </c>
    </row>
    <row r="22" spans="1:29" ht="15">
      <c r="A22" s="601"/>
      <c r="B22" s="834"/>
      <c r="C22" s="44"/>
      <c r="D22" s="645"/>
      <c r="E22" s="144"/>
      <c r="F22" s="645"/>
      <c r="G22" s="144"/>
      <c r="H22" s="645"/>
      <c r="I22" s="44"/>
      <c r="J22" s="645"/>
      <c r="K22" s="943"/>
      <c r="L22" s="2214"/>
      <c r="M22" s="2205"/>
      <c r="N22" s="2205"/>
      <c r="O22" s="2213"/>
      <c r="P22" s="3487"/>
      <c r="Q22" s="1113"/>
      <c r="R22" s="1114"/>
      <c r="S22" s="1115"/>
      <c r="T22" s="1114"/>
      <c r="U22" s="1115"/>
      <c r="V22" s="1114"/>
      <c r="W22" s="1115"/>
      <c r="X22" s="1108"/>
      <c r="Y22" s="3487"/>
      <c r="Z22" s="1116"/>
      <c r="AA22" s="1117">
        <v>1</v>
      </c>
      <c r="AB22" s="1117">
        <v>1</v>
      </c>
      <c r="AC22" s="1117">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87"/>
      <c r="Q23" s="192" t="str">
        <f t="shared" si="8"/>
        <v>公共配套设施</v>
      </c>
      <c r="R23" s="1109" t="s">
        <v>61</v>
      </c>
      <c r="S23" s="1110">
        <f>F23</f>
        <v>100</v>
      </c>
      <c r="T23" s="1109" t="s">
        <v>61</v>
      </c>
      <c r="U23" s="1110">
        <f>H23</f>
        <v>100</v>
      </c>
      <c r="V23" s="1109" t="s">
        <v>61</v>
      </c>
      <c r="W23" s="1110">
        <f>J23</f>
        <v>100</v>
      </c>
      <c r="X23" s="1111"/>
      <c r="Y23" s="3487"/>
      <c r="Z23" s="206" t="str">
        <f>Q23</f>
        <v>公共配套设施</v>
      </c>
      <c r="AA23" s="1117">
        <f>D23/F23</f>
        <v>1</v>
      </c>
      <c r="AB23" s="1117">
        <f>D23/H23</f>
        <v>1</v>
      </c>
      <c r="AC23" s="1117">
        <f>D23/J23</f>
        <v>1</v>
      </c>
    </row>
    <row r="24" spans="1:29" s="218" customFormat="1" ht="15">
      <c r="A24" s="851"/>
      <c r="B24" s="834"/>
      <c r="C24" s="2592"/>
      <c r="D24" s="645"/>
      <c r="E24" s="144"/>
      <c r="F24" s="645"/>
      <c r="G24" s="144"/>
      <c r="H24" s="645"/>
      <c r="I24" s="44"/>
      <c r="J24" s="645"/>
      <c r="K24" s="943"/>
      <c r="L24" s="2206"/>
      <c r="M24" s="2207"/>
      <c r="N24" s="2207"/>
      <c r="O24" s="2208"/>
      <c r="P24" s="3487"/>
      <c r="Q24" s="192"/>
      <c r="R24" s="1109"/>
      <c r="S24" s="1110"/>
      <c r="T24" s="1109"/>
      <c r="U24" s="1110"/>
      <c r="V24" s="1109"/>
      <c r="W24" s="1110"/>
      <c r="X24" s="1111"/>
      <c r="Y24" s="3487"/>
      <c r="Z24" s="206"/>
      <c r="AA24" s="1112">
        <v>1</v>
      </c>
      <c r="AB24" s="1112">
        <v>1</v>
      </c>
      <c r="AC24" s="1112">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87"/>
      <c r="Q25" s="2545" t="str">
        <f t="shared" ref="Q25" si="9">B25</f>
        <v>基础设施水平</v>
      </c>
      <c r="R25" s="1109" t="s">
        <v>61</v>
      </c>
      <c r="S25" s="1110">
        <f>F25</f>
        <v>100</v>
      </c>
      <c r="T25" s="1109" t="s">
        <v>61</v>
      </c>
      <c r="U25" s="1110">
        <f>H25</f>
        <v>100</v>
      </c>
      <c r="V25" s="1109" t="s">
        <v>61</v>
      </c>
      <c r="W25" s="1110">
        <f>J25</f>
        <v>100</v>
      </c>
      <c r="X25" s="1111"/>
      <c r="Y25" s="3487"/>
      <c r="Z25" s="206" t="str">
        <f>Q25</f>
        <v>基础设施水平</v>
      </c>
      <c r="AA25" s="1117">
        <f>D25/F25</f>
        <v>1</v>
      </c>
      <c r="AB25" s="1117">
        <f>D25/H25</f>
        <v>1</v>
      </c>
      <c r="AC25" s="1117">
        <f>D25/J25</f>
        <v>1</v>
      </c>
    </row>
    <row r="26" spans="1:29" s="218" customFormat="1" ht="15">
      <c r="A26" s="851"/>
      <c r="B26" s="834"/>
      <c r="C26" s="2592"/>
      <c r="D26" s="645"/>
      <c r="E26" s="895"/>
      <c r="F26" s="645"/>
      <c r="G26" s="895"/>
      <c r="H26" s="645"/>
      <c r="I26" s="895"/>
      <c r="J26" s="645"/>
      <c r="K26" s="943"/>
      <c r="L26" s="2206"/>
      <c r="M26" s="2207"/>
      <c r="N26" s="2207"/>
      <c r="O26" s="2208"/>
      <c r="P26" s="3487"/>
      <c r="Q26" s="2545"/>
      <c r="R26" s="1109"/>
      <c r="S26" s="1110"/>
      <c r="T26" s="1109"/>
      <c r="U26" s="1110"/>
      <c r="V26" s="1109"/>
      <c r="W26" s="1110"/>
      <c r="X26" s="1111"/>
      <c r="Y26" s="3487"/>
      <c r="Z26" s="206"/>
      <c r="AA26" s="1112">
        <v>1</v>
      </c>
      <c r="AB26" s="1112">
        <v>1</v>
      </c>
      <c r="AC26" s="1112">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87"/>
      <c r="Q27" s="1113" t="str">
        <f t="shared" si="8"/>
        <v>临街状况</v>
      </c>
      <c r="R27" s="1114" t="s">
        <v>61</v>
      </c>
      <c r="S27" s="1115">
        <f t="shared" ref="S27:S40" si="10">F27</f>
        <v>100</v>
      </c>
      <c r="T27" s="1114" t="s">
        <v>61</v>
      </c>
      <c r="U27" s="1115">
        <f t="shared" ref="U27:U40" si="11">H27</f>
        <v>100</v>
      </c>
      <c r="V27" s="1114" t="s">
        <v>61</v>
      </c>
      <c r="W27" s="1115">
        <f t="shared" ref="W27:W40" si="12">J27</f>
        <v>100</v>
      </c>
      <c r="X27" s="1108"/>
      <c r="Y27" s="3487"/>
      <c r="Z27" s="1116" t="str">
        <f t="shared" ref="Z27:Z40" si="13">Q27</f>
        <v>临街状况</v>
      </c>
      <c r="AA27" s="1117">
        <f t="shared" si="3"/>
        <v>1</v>
      </c>
      <c r="AB27" s="1117">
        <f t="shared" si="4"/>
        <v>1</v>
      </c>
      <c r="AC27" s="1117">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87"/>
      <c r="Q28" s="1113" t="str">
        <f t="shared" si="8"/>
        <v>毗邻道路的类型与等级</v>
      </c>
      <c r="R28" s="1114" t="s">
        <v>61</v>
      </c>
      <c r="S28" s="1115">
        <f t="shared" si="10"/>
        <v>100</v>
      </c>
      <c r="T28" s="1114" t="s">
        <v>61</v>
      </c>
      <c r="U28" s="1115">
        <f t="shared" si="11"/>
        <v>100</v>
      </c>
      <c r="V28" s="1114" t="s">
        <v>61</v>
      </c>
      <c r="W28" s="1115">
        <f t="shared" si="12"/>
        <v>100</v>
      </c>
      <c r="X28" s="1108"/>
      <c r="Y28" s="3487"/>
      <c r="Z28" s="1116" t="str">
        <f t="shared" si="13"/>
        <v>毗邻道路的类型与等级</v>
      </c>
      <c r="AA28" s="1117">
        <f t="shared" si="3"/>
        <v>1</v>
      </c>
      <c r="AB28" s="1117">
        <f t="shared" si="4"/>
        <v>1</v>
      </c>
      <c r="AC28" s="1117">
        <f t="shared" si="5"/>
        <v>1</v>
      </c>
    </row>
    <row r="29" spans="1:29" ht="15">
      <c r="A29" s="626"/>
      <c r="B29" s="834"/>
      <c r="C29" s="44"/>
      <c r="D29" s="645"/>
      <c r="E29" s="144"/>
      <c r="F29" s="645"/>
      <c r="G29" s="144"/>
      <c r="H29" s="645"/>
      <c r="I29" s="144"/>
      <c r="J29" s="645"/>
      <c r="K29" s="815"/>
      <c r="L29" s="2214"/>
      <c r="M29" s="2205"/>
      <c r="N29" s="2205"/>
      <c r="O29" s="2213"/>
      <c r="P29" s="3487"/>
      <c r="Q29" s="1113"/>
      <c r="R29" s="1114"/>
      <c r="S29" s="1115"/>
      <c r="T29" s="1114"/>
      <c r="U29" s="1115"/>
      <c r="V29" s="1114"/>
      <c r="W29" s="1115"/>
      <c r="X29" s="1108"/>
      <c r="Y29" s="3487"/>
      <c r="Z29" s="1116"/>
      <c r="AA29" s="1117">
        <v>1</v>
      </c>
      <c r="AB29" s="1117">
        <v>1</v>
      </c>
      <c r="AC29" s="1117">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87"/>
      <c r="Q30" s="1113" t="str">
        <f t="shared" si="8"/>
        <v>土地级别</v>
      </c>
      <c r="R30" s="1114" t="s">
        <v>61</v>
      </c>
      <c r="S30" s="1115">
        <f t="shared" si="10"/>
        <v>100</v>
      </c>
      <c r="T30" s="1114" t="s">
        <v>61</v>
      </c>
      <c r="U30" s="1115">
        <f t="shared" si="11"/>
        <v>100</v>
      </c>
      <c r="V30" s="1114" t="s">
        <v>61</v>
      </c>
      <c r="W30" s="1115">
        <f t="shared" si="12"/>
        <v>100</v>
      </c>
      <c r="X30" s="1108"/>
      <c r="Y30" s="3487"/>
      <c r="Z30" s="1116" t="str">
        <f t="shared" si="13"/>
        <v>土地级别</v>
      </c>
      <c r="AA30" s="1117">
        <f t="shared" si="3"/>
        <v>1</v>
      </c>
      <c r="AB30" s="1117">
        <f t="shared" si="4"/>
        <v>1</v>
      </c>
      <c r="AC30" s="1117">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87"/>
      <c r="Q31" s="1113">
        <f t="shared" si="8"/>
        <v>111</v>
      </c>
      <c r="R31" s="1114" t="s">
        <v>61</v>
      </c>
      <c r="S31" s="1115">
        <f t="shared" si="10"/>
        <v>100</v>
      </c>
      <c r="T31" s="1114" t="s">
        <v>61</v>
      </c>
      <c r="U31" s="1115">
        <f t="shared" si="11"/>
        <v>100</v>
      </c>
      <c r="V31" s="1114" t="s">
        <v>61</v>
      </c>
      <c r="W31" s="1115">
        <f t="shared" si="12"/>
        <v>100</v>
      </c>
      <c r="X31" s="1108"/>
      <c r="Y31" s="3487"/>
      <c r="Z31" s="1116">
        <f t="shared" si="13"/>
        <v>111</v>
      </c>
      <c r="AA31" s="1117">
        <f t="shared" si="3"/>
        <v>1</v>
      </c>
      <c r="AB31" s="1117">
        <f t="shared" si="4"/>
        <v>1</v>
      </c>
      <c r="AC31" s="1117">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88" t="s">
        <v>423</v>
      </c>
      <c r="Q32" s="1113">
        <f t="shared" si="8"/>
        <v>111</v>
      </c>
      <c r="R32" s="1114" t="s">
        <v>61</v>
      </c>
      <c r="S32" s="1115">
        <f t="shared" si="10"/>
        <v>100</v>
      </c>
      <c r="T32" s="1114" t="s">
        <v>61</v>
      </c>
      <c r="U32" s="1115">
        <f t="shared" si="11"/>
        <v>100</v>
      </c>
      <c r="V32" s="1114" t="s">
        <v>61</v>
      </c>
      <c r="W32" s="1115">
        <f t="shared" si="12"/>
        <v>100</v>
      </c>
      <c r="X32" s="1108"/>
      <c r="Y32" s="3489" t="s">
        <v>423</v>
      </c>
      <c r="Z32" s="1116">
        <f t="shared" si="13"/>
        <v>111</v>
      </c>
      <c r="AA32" s="1117">
        <f t="shared" si="3"/>
        <v>1</v>
      </c>
      <c r="AB32" s="1117">
        <f t="shared" si="4"/>
        <v>1</v>
      </c>
      <c r="AC32" s="1117">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89"/>
      <c r="Q33" s="1113">
        <f t="shared" si="8"/>
        <v>111</v>
      </c>
      <c r="R33" s="1119" t="s">
        <v>61</v>
      </c>
      <c r="S33" s="1120">
        <f t="shared" si="10"/>
        <v>100</v>
      </c>
      <c r="T33" s="1119" t="s">
        <v>61</v>
      </c>
      <c r="U33" s="1120">
        <f t="shared" si="11"/>
        <v>100</v>
      </c>
      <c r="V33" s="1119" t="s">
        <v>61</v>
      </c>
      <c r="W33" s="1120">
        <f t="shared" si="12"/>
        <v>100</v>
      </c>
      <c r="X33" s="1121"/>
      <c r="Y33" s="3489"/>
      <c r="Z33" s="1122">
        <f t="shared" si="13"/>
        <v>111</v>
      </c>
      <c r="AA33" s="1117">
        <f t="shared" si="3"/>
        <v>1</v>
      </c>
      <c r="AB33" s="1117">
        <f t="shared" si="4"/>
        <v>1</v>
      </c>
      <c r="AC33" s="1117">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89"/>
      <c r="Q34" s="1113" t="str">
        <f>B34</f>
        <v>宗地面积</v>
      </c>
      <c r="R34" s="1114" t="s">
        <v>61</v>
      </c>
      <c r="S34" s="1115" t="e">
        <f t="shared" si="10"/>
        <v>#N/A</v>
      </c>
      <c r="T34" s="1114" t="s">
        <v>61</v>
      </c>
      <c r="U34" s="1115" t="e">
        <f t="shared" si="11"/>
        <v>#N/A</v>
      </c>
      <c r="V34" s="1114" t="s">
        <v>61</v>
      </c>
      <c r="W34" s="1115" t="e">
        <f t="shared" si="12"/>
        <v>#N/A</v>
      </c>
      <c r="X34" s="1108"/>
      <c r="Y34" s="3489"/>
      <c r="Z34" s="1116" t="str">
        <f t="shared" si="13"/>
        <v>宗地面积</v>
      </c>
      <c r="AA34" s="1117" t="e">
        <f t="shared" si="3"/>
        <v>#N/A</v>
      </c>
      <c r="AB34" s="1117" t="e">
        <f t="shared" si="4"/>
        <v>#N/A</v>
      </c>
      <c r="AC34" s="1117"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89"/>
      <c r="Q35" s="1113" t="str">
        <f t="shared" ref="Q35:Q40" si="14">B35</f>
        <v>宗地形状</v>
      </c>
      <c r="R35" s="1114" t="s">
        <v>61</v>
      </c>
      <c r="S35" s="1115">
        <f t="shared" si="10"/>
        <v>100</v>
      </c>
      <c r="T35" s="1114" t="s">
        <v>61</v>
      </c>
      <c r="U35" s="1115">
        <f t="shared" si="11"/>
        <v>100</v>
      </c>
      <c r="V35" s="1114" t="s">
        <v>61</v>
      </c>
      <c r="W35" s="1115">
        <f t="shared" si="12"/>
        <v>100</v>
      </c>
      <c r="X35" s="1108"/>
      <c r="Y35" s="3489"/>
      <c r="Z35" s="1116" t="str">
        <f t="shared" si="13"/>
        <v>宗地形状</v>
      </c>
      <c r="AA35" s="1117">
        <f t="shared" si="3"/>
        <v>1</v>
      </c>
      <c r="AB35" s="1117">
        <f t="shared" si="4"/>
        <v>1</v>
      </c>
      <c r="AC35" s="1117">
        <f t="shared" si="5"/>
        <v>1</v>
      </c>
    </row>
    <row r="36" spans="1:29" s="218" customFormat="1" ht="15">
      <c r="A36" s="672"/>
      <c r="B36" s="2423"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89"/>
      <c r="Q36" s="1113" t="str">
        <f t="shared" si="14"/>
        <v>宗地开发程度</v>
      </c>
      <c r="R36" s="1109" t="s">
        <v>61</v>
      </c>
      <c r="S36" s="1110">
        <f t="shared" si="10"/>
        <v>100</v>
      </c>
      <c r="T36" s="1109" t="s">
        <v>61</v>
      </c>
      <c r="U36" s="1110">
        <f t="shared" si="11"/>
        <v>100</v>
      </c>
      <c r="V36" s="1109" t="s">
        <v>61</v>
      </c>
      <c r="W36" s="1110">
        <f t="shared" si="12"/>
        <v>100</v>
      </c>
      <c r="X36" s="1111"/>
      <c r="Y36" s="3489"/>
      <c r="Z36" s="206" t="str">
        <f t="shared" si="13"/>
        <v>宗地开发程度</v>
      </c>
      <c r="AA36" s="1112">
        <f t="shared" si="3"/>
        <v>1</v>
      </c>
      <c r="AB36" s="1112">
        <f t="shared" si="4"/>
        <v>1</v>
      </c>
      <c r="AC36" s="1112">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89" t="s">
        <v>532</v>
      </c>
      <c r="Q37" s="1113" t="str">
        <f t="shared" si="14"/>
        <v>工程地质条件</v>
      </c>
      <c r="R37" s="1114" t="s">
        <v>61</v>
      </c>
      <c r="S37" s="1115">
        <f t="shared" si="10"/>
        <v>100</v>
      </c>
      <c r="T37" s="1114" t="s">
        <v>61</v>
      </c>
      <c r="U37" s="1115">
        <f t="shared" si="11"/>
        <v>100</v>
      </c>
      <c r="V37" s="1114" t="s">
        <v>61</v>
      </c>
      <c r="W37" s="1115">
        <f t="shared" si="12"/>
        <v>100</v>
      </c>
      <c r="X37" s="1108"/>
      <c r="Y37" s="3489" t="s">
        <v>532</v>
      </c>
      <c r="Z37" s="1116" t="str">
        <f t="shared" si="13"/>
        <v>工程地质条件</v>
      </c>
      <c r="AA37" s="1117">
        <f t="shared" si="3"/>
        <v>1</v>
      </c>
      <c r="AB37" s="1117">
        <f t="shared" si="4"/>
        <v>1</v>
      </c>
      <c r="AC37" s="1117">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89"/>
      <c r="Q38" s="1113">
        <f t="shared" si="14"/>
        <v>111</v>
      </c>
      <c r="R38" s="1114" t="s">
        <v>61</v>
      </c>
      <c r="S38" s="1115">
        <f t="shared" si="10"/>
        <v>100</v>
      </c>
      <c r="T38" s="1114" t="s">
        <v>61</v>
      </c>
      <c r="U38" s="1115">
        <f t="shared" si="11"/>
        <v>100</v>
      </c>
      <c r="V38" s="1114" t="s">
        <v>61</v>
      </c>
      <c r="W38" s="1115">
        <f t="shared" si="12"/>
        <v>100</v>
      </c>
      <c r="X38" s="1108"/>
      <c r="Y38" s="3489"/>
      <c r="Z38" s="1116">
        <f t="shared" si="13"/>
        <v>111</v>
      </c>
      <c r="AA38" s="1117">
        <f t="shared" si="3"/>
        <v>1</v>
      </c>
      <c r="AB38" s="1117">
        <f t="shared" si="4"/>
        <v>1</v>
      </c>
      <c r="AC38" s="1117">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89"/>
      <c r="Q39" s="1113">
        <f t="shared" si="14"/>
        <v>111</v>
      </c>
      <c r="R39" s="1114" t="s">
        <v>61</v>
      </c>
      <c r="S39" s="1115">
        <f t="shared" si="10"/>
        <v>100</v>
      </c>
      <c r="T39" s="1114" t="s">
        <v>61</v>
      </c>
      <c r="U39" s="1115">
        <f t="shared" si="11"/>
        <v>100</v>
      </c>
      <c r="V39" s="1114" t="s">
        <v>61</v>
      </c>
      <c r="W39" s="1115">
        <f t="shared" si="12"/>
        <v>100</v>
      </c>
      <c r="X39" s="1108"/>
      <c r="Y39" s="3489"/>
      <c r="Z39" s="1116">
        <f t="shared" si="13"/>
        <v>111</v>
      </c>
      <c r="AA39" s="1117">
        <f t="shared" si="3"/>
        <v>1</v>
      </c>
      <c r="AB39" s="1117">
        <f t="shared" si="4"/>
        <v>1</v>
      </c>
      <c r="AC39" s="1117">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89"/>
      <c r="Q40" s="1113">
        <f t="shared" si="14"/>
        <v>111</v>
      </c>
      <c r="R40" s="1119" t="s">
        <v>61</v>
      </c>
      <c r="S40" s="1120">
        <f t="shared" si="10"/>
        <v>100</v>
      </c>
      <c r="T40" s="1119" t="s">
        <v>61</v>
      </c>
      <c r="U40" s="1120">
        <f t="shared" si="11"/>
        <v>100</v>
      </c>
      <c r="V40" s="1119" t="s">
        <v>61</v>
      </c>
      <c r="W40" s="1120">
        <f t="shared" si="12"/>
        <v>100</v>
      </c>
      <c r="X40" s="1121"/>
      <c r="Y40" s="3489"/>
      <c r="Z40" s="1122">
        <f t="shared" si="13"/>
        <v>111</v>
      </c>
      <c r="AA40" s="1117">
        <f t="shared" si="3"/>
        <v>1</v>
      </c>
      <c r="AB40" s="1117">
        <f t="shared" si="4"/>
        <v>1</v>
      </c>
      <c r="AC40" s="1117">
        <f t="shared" si="5"/>
        <v>1</v>
      </c>
    </row>
    <row r="41" spans="1:29" ht="15">
      <c r="A41" s="678" t="s">
        <v>502</v>
      </c>
      <c r="B41" s="159" t="s">
        <v>160</v>
      </c>
      <c r="C41" s="953" t="s">
        <v>20</v>
      </c>
      <c r="D41" s="680"/>
      <c r="E41" s="681"/>
      <c r="F41" s="682"/>
      <c r="G41" s="683"/>
      <c r="H41" s="684"/>
      <c r="I41" s="681"/>
      <c r="J41" s="684"/>
      <c r="K41" s="1191"/>
      <c r="L41" s="2217"/>
      <c r="M41" s="2205"/>
      <c r="N41" s="2205"/>
      <c r="O41" s="2218"/>
      <c r="P41" s="3458" t="str">
        <f>A41</f>
        <v>成交单价</v>
      </c>
      <c r="Q41" s="3458"/>
      <c r="R41" s="3482">
        <f>E41</f>
        <v>0</v>
      </c>
      <c r="S41" s="3482"/>
      <c r="T41" s="3482">
        <f>G41</f>
        <v>0</v>
      </c>
      <c r="U41" s="3482"/>
      <c r="V41" s="3482">
        <f>I41</f>
        <v>0</v>
      </c>
      <c r="W41" s="3482"/>
      <c r="X41" s="1097"/>
      <c r="Y41" s="1123"/>
      <c r="Z41" s="1097"/>
      <c r="AA41" s="1097"/>
      <c r="AB41" s="1097"/>
      <c r="AC41" s="1097"/>
    </row>
    <row r="42" spans="1:29" ht="15.75" thickBot="1">
      <c r="A42" s="685" t="s">
        <v>425</v>
      </c>
      <c r="B42" s="954"/>
      <c r="C42" s="689" t="e">
        <f>R43</f>
        <v>#DIV/0!</v>
      </c>
      <c r="D42" s="688"/>
      <c r="E42" s="689" t="e">
        <f>R42</f>
        <v>#DIV/0!</v>
      </c>
      <c r="F42" s="690"/>
      <c r="G42" s="687" t="e">
        <f>T42</f>
        <v>#DIV/0!</v>
      </c>
      <c r="H42" s="688"/>
      <c r="I42" s="689" t="e">
        <f>V42</f>
        <v>#DIV/0!</v>
      </c>
      <c r="J42" s="688"/>
      <c r="K42" s="1192"/>
      <c r="L42" s="2217"/>
      <c r="M42" s="2205"/>
      <c r="N42" s="2205"/>
      <c r="O42" s="2218"/>
      <c r="P42" s="3458" t="str">
        <f>A42</f>
        <v>比较价值（元/平方米）</v>
      </c>
      <c r="Q42" s="3458"/>
      <c r="R42" s="3494" t="e">
        <f>ROUND(PRODUCT(R41,AA7:AA40),0)</f>
        <v>#DIV/0!</v>
      </c>
      <c r="S42" s="3494"/>
      <c r="T42" s="3494" t="e">
        <f>ROUND(PRODUCT(T41,AB7:AB40),0)</f>
        <v>#DIV/0!</v>
      </c>
      <c r="U42" s="3494"/>
      <c r="V42" s="3494" t="e">
        <f>ROUND(PRODUCT(V41,AC7:AC40),0)</f>
        <v>#DIV/0!</v>
      </c>
      <c r="W42" s="3494"/>
      <c r="X42" s="1097"/>
      <c r="Y42" s="1097"/>
      <c r="Z42" s="1097"/>
      <c r="AA42" s="1097"/>
      <c r="AB42" s="1097"/>
      <c r="AC42" s="1097"/>
    </row>
    <row r="43" spans="1:29" ht="15.75" thickBot="1">
      <c r="A43" s="62" t="s">
        <v>2887</v>
      </c>
      <c r="B43" s="692"/>
      <c r="C43" s="693" t="e">
        <f>R43</f>
        <v>#DIV/0!</v>
      </c>
      <c r="D43" s="693"/>
      <c r="E43" s="693"/>
      <c r="F43" s="693"/>
      <c r="G43" s="693"/>
      <c r="H43" s="693"/>
      <c r="I43" s="693"/>
      <c r="J43" s="693"/>
      <c r="K43" s="1193"/>
      <c r="L43" s="2217"/>
      <c r="M43" s="2205"/>
      <c r="N43" s="2205"/>
      <c r="O43" s="2218"/>
      <c r="P43" s="3491" t="str">
        <f>A43</f>
        <v>估价对象XX用房的比较价值（楼面单价，元/平方米）</v>
      </c>
      <c r="Q43" s="3492"/>
      <c r="R43" s="3495" t="e">
        <f>ROUND(AVERAGE(R42:V42),0)</f>
        <v>#DIV/0!</v>
      </c>
      <c r="S43" s="3495"/>
      <c r="T43" s="3495"/>
      <c r="U43" s="3495"/>
      <c r="V43" s="3495"/>
      <c r="W43" s="3495"/>
      <c r="X43" s="1097"/>
      <c r="Y43" s="1097"/>
      <c r="Z43" s="1097"/>
      <c r="AA43" s="1097"/>
      <c r="AB43" s="1097"/>
      <c r="AC43" s="1097"/>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09" t="s">
        <v>1814</v>
      </c>
      <c r="D50" s="2264" t="s">
        <v>2229</v>
      </c>
      <c r="E50" s="957" t="s">
        <v>505</v>
      </c>
      <c r="F50" s="958" t="s">
        <v>506</v>
      </c>
      <c r="G50" s="1598" t="s">
        <v>1813</v>
      </c>
      <c r="H50" s="1598">
        <f>项目基本情况!G8</f>
        <v>0</v>
      </c>
      <c r="I50" s="2235" t="s">
        <v>1815</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7">
        <v>1</v>
      </c>
      <c r="H51" s="1607">
        <v>1</v>
      </c>
      <c r="I51" s="2220"/>
      <c r="J51" s="2223"/>
      <c r="K51" s="2219"/>
      <c r="L51" s="2219"/>
      <c r="M51" s="2218"/>
      <c r="N51" s="2218"/>
      <c r="O51" s="2218"/>
    </row>
    <row r="52" spans="1:17" s="963" customFormat="1">
      <c r="A52" s="964" t="s">
        <v>508</v>
      </c>
      <c r="B52" s="395" t="e">
        <f>ROUND($C$43*C52*D52,0)</f>
        <v>#DIV/0!</v>
      </c>
      <c r="C52" s="334">
        <f>IF($C$50="北京市系数",G52,H52)</f>
        <v>0.8</v>
      </c>
      <c r="D52" s="2263">
        <v>0.25</v>
      </c>
      <c r="E52" s="965">
        <v>0</v>
      </c>
      <c r="F52" s="962" t="e">
        <f t="shared" si="15"/>
        <v>#DIV/0!</v>
      </c>
      <c r="G52" s="1607">
        <f>SUMIF(修正!$A$45:$A$56,项目基本情况!$F$9,修正!B45:B56)</f>
        <v>0.8</v>
      </c>
      <c r="H52" s="1608"/>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0.5</v>
      </c>
      <c r="D53" s="2263">
        <v>0.25</v>
      </c>
      <c r="E53" s="965">
        <v>0</v>
      </c>
      <c r="F53" s="962" t="e">
        <f t="shared" si="15"/>
        <v>#DIV/0!</v>
      </c>
      <c r="G53" s="1607">
        <f>SUMIF(修正!$A$45:$A$56,项目基本情况!$F$9,修正!C45:C56)</f>
        <v>0.5</v>
      </c>
      <c r="H53" s="1608"/>
      <c r="I53" s="2220"/>
      <c r="J53" s="2223"/>
      <c r="K53" s="2219"/>
      <c r="L53" s="2219"/>
      <c r="M53" s="2218"/>
      <c r="N53" s="2218"/>
      <c r="O53" s="2218"/>
    </row>
    <row r="54" spans="1:17" s="963" customFormat="1">
      <c r="A54" s="964" t="s">
        <v>510</v>
      </c>
      <c r="B54" s="395" t="e">
        <f t="shared" si="16"/>
        <v>#DIV/0!</v>
      </c>
      <c r="C54" s="334">
        <f t="shared" si="17"/>
        <v>0.36</v>
      </c>
      <c r="D54" s="2263">
        <v>0.25</v>
      </c>
      <c r="E54" s="965">
        <v>0</v>
      </c>
      <c r="F54" s="962" t="e">
        <f t="shared" si="15"/>
        <v>#DIV/0!</v>
      </c>
      <c r="G54" s="1607">
        <f>SUMIF(修正!$A$45:$A$56,项目基本情况!$F$9,修正!D45:D56)</f>
        <v>0.36</v>
      </c>
      <c r="H54" s="1608"/>
      <c r="I54" s="2218"/>
      <c r="J54" s="2223"/>
      <c r="K54" s="2219"/>
      <c r="L54" s="2219"/>
      <c r="M54" s="2218"/>
      <c r="N54" s="2218"/>
      <c r="O54" s="2218"/>
    </row>
    <row r="55" spans="1:17" s="963" customFormat="1">
      <c r="A55" s="964" t="s">
        <v>511</v>
      </c>
      <c r="B55" s="395" t="e">
        <f t="shared" si="16"/>
        <v>#DIV/0!</v>
      </c>
      <c r="C55" s="334">
        <f t="shared" si="17"/>
        <v>0.3</v>
      </c>
      <c r="D55" s="2263">
        <v>0.25</v>
      </c>
      <c r="E55" s="965">
        <v>0</v>
      </c>
      <c r="F55" s="962" t="e">
        <f t="shared" si="15"/>
        <v>#DIV/0!</v>
      </c>
      <c r="G55" s="1607">
        <f>SUMIF(修正!$A$45:$A$56,项目基本情况!$F$9,修正!E45:E56)</f>
        <v>0.3</v>
      </c>
      <c r="H55" s="1608"/>
      <c r="I55" s="2220"/>
      <c r="J55" s="2223"/>
      <c r="K55" s="2219"/>
      <c r="L55" s="2219"/>
      <c r="M55" s="2218"/>
      <c r="N55" s="2218"/>
      <c r="O55" s="2218"/>
    </row>
    <row r="56" spans="1:17" s="963" customFormat="1">
      <c r="A56" s="964" t="s">
        <v>512</v>
      </c>
      <c r="B56" s="395" t="e">
        <f t="shared" si="16"/>
        <v>#DIV/0!</v>
      </c>
      <c r="C56" s="334">
        <f t="shared" si="17"/>
        <v>0.25</v>
      </c>
      <c r="D56" s="2263">
        <v>0.25</v>
      </c>
      <c r="E56" s="965">
        <v>0</v>
      </c>
      <c r="F56" s="962" t="e">
        <f t="shared" si="15"/>
        <v>#DIV/0!</v>
      </c>
      <c r="G56" s="1607">
        <f>SUMIF(修正!A40:A51,项目基本情况!F9,修正!F45:F56)</f>
        <v>0.25</v>
      </c>
      <c r="H56" s="1608"/>
      <c r="I56" s="2218"/>
      <c r="J56" s="2223"/>
      <c r="K56" s="2219"/>
      <c r="L56" s="2219"/>
      <c r="M56" s="2218"/>
      <c r="N56" s="2218"/>
      <c r="O56" s="2218"/>
    </row>
    <row r="57" spans="1:17" s="963" customFormat="1">
      <c r="A57" s="964" t="s">
        <v>513</v>
      </c>
      <c r="B57" s="395" t="e">
        <f t="shared" si="16"/>
        <v>#DIV/0!</v>
      </c>
      <c r="C57" s="334">
        <f t="shared" si="17"/>
        <v>0.25</v>
      </c>
      <c r="D57" s="2263">
        <v>0.25</v>
      </c>
      <c r="E57" s="965">
        <v>0</v>
      </c>
      <c r="F57" s="962" t="e">
        <f t="shared" si="15"/>
        <v>#DIV/0!</v>
      </c>
      <c r="G57" s="1607">
        <f>SUMIF(修正!A40:A51,项目基本情况!F9,修正!G45:G56)</f>
        <v>0.25</v>
      </c>
      <c r="H57" s="1608"/>
      <c r="I57" s="2220"/>
      <c r="J57" s="2223"/>
      <c r="K57" s="2219"/>
      <c r="L57" s="2219"/>
      <c r="M57" s="2218"/>
      <c r="N57" s="2218"/>
      <c r="O57" s="2218"/>
    </row>
    <row r="58" spans="1:17" s="963" customFormat="1">
      <c r="A58" s="964" t="s">
        <v>514</v>
      </c>
      <c r="B58" s="395" t="e">
        <f t="shared" si="16"/>
        <v>#DIV/0!</v>
      </c>
      <c r="C58" s="334">
        <f t="shared" si="17"/>
        <v>0.2</v>
      </c>
      <c r="D58" s="2263">
        <v>0.25</v>
      </c>
      <c r="E58" s="965">
        <v>0</v>
      </c>
      <c r="F58" s="962" t="e">
        <f t="shared" si="15"/>
        <v>#DIV/0!</v>
      </c>
      <c r="G58" s="1607">
        <f>SUMIF(修正!A40:A51,项目基本情况!F9,修正!H45:H56)</f>
        <v>0.2</v>
      </c>
      <c r="H58" s="1608"/>
      <c r="I58" s="2218"/>
      <c r="J58" s="2223"/>
      <c r="K58" s="2219"/>
      <c r="L58" s="2219"/>
      <c r="M58" s="2218"/>
      <c r="N58" s="2218"/>
      <c r="O58" s="2218"/>
    </row>
    <row r="59" spans="1:17" s="963" customFormat="1">
      <c r="A59" s="964" t="s">
        <v>515</v>
      </c>
      <c r="B59" s="395" t="e">
        <f t="shared" si="16"/>
        <v>#DIV/0!</v>
      </c>
      <c r="C59" s="334">
        <f t="shared" si="17"/>
        <v>0.2</v>
      </c>
      <c r="D59" s="2263">
        <v>0.25</v>
      </c>
      <c r="E59" s="965">
        <v>0</v>
      </c>
      <c r="F59" s="962" t="e">
        <f t="shared" si="15"/>
        <v>#DIV/0!</v>
      </c>
      <c r="G59" s="1607">
        <f>G58</f>
        <v>0.2</v>
      </c>
      <c r="H59" s="1608"/>
      <c r="I59" s="2220"/>
      <c r="J59" s="2223"/>
      <c r="K59" s="2219"/>
      <c r="L59" s="2219"/>
      <c r="M59" s="2218"/>
      <c r="N59" s="2218"/>
      <c r="O59" s="2218"/>
    </row>
    <row r="60" spans="1:17" s="963" customFormat="1">
      <c r="A60" s="964" t="s">
        <v>516</v>
      </c>
      <c r="B60" s="395" t="e">
        <f t="shared" si="16"/>
        <v>#DIV/0!</v>
      </c>
      <c r="C60" s="334">
        <f t="shared" si="17"/>
        <v>0.2</v>
      </c>
      <c r="D60" s="2263">
        <v>0.25</v>
      </c>
      <c r="E60" s="965">
        <v>0</v>
      </c>
      <c r="F60" s="962" t="e">
        <f t="shared" si="15"/>
        <v>#DIV/0!</v>
      </c>
      <c r="G60" s="1607">
        <f>G58</f>
        <v>0.2</v>
      </c>
      <c r="H60" s="1608"/>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1" t="s">
        <v>429</v>
      </c>
      <c r="B64" s="1097"/>
      <c r="C64" s="1102"/>
      <c r="D64" s="1102"/>
      <c r="E64" s="1102"/>
      <c r="F64" s="1103"/>
      <c r="G64" s="1103"/>
      <c r="H64" s="1102"/>
      <c r="I64" s="2234"/>
      <c r="J64" s="2234"/>
      <c r="K64" s="2232"/>
      <c r="L64" s="2233"/>
      <c r="M64" s="2234"/>
      <c r="N64" s="2234"/>
      <c r="O64" s="2234"/>
      <c r="P64" s="702"/>
      <c r="Q64" s="703"/>
    </row>
    <row r="65" spans="1:17" s="707" customFormat="1" ht="15">
      <c r="A65" s="2530" t="s">
        <v>2661</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2662</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2421</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6" customWidth="1"/>
    <col min="2" max="2" width="19.25" style="1570" customWidth="1"/>
    <col min="3" max="3" width="12.5" style="1447" customWidth="1"/>
    <col min="4" max="4" width="12" style="1447" customWidth="1"/>
    <col min="5" max="5" width="14.625" style="1447" customWidth="1"/>
    <col min="6" max="8" width="12" style="1447" customWidth="1"/>
    <col min="9" max="9" width="12.25" style="1447" bestFit="1" customWidth="1"/>
    <col min="10" max="10" width="12" style="1447" customWidth="1"/>
    <col min="11" max="11" width="9.5" style="2238" customWidth="1"/>
    <col min="12" max="12" width="12" style="1447" customWidth="1"/>
    <col min="13" max="13" width="8.5" style="1447" customWidth="1"/>
    <col min="14" max="14" width="9.75" style="1447" customWidth="1"/>
    <col min="15" max="25" width="12" style="1447" customWidth="1"/>
    <col min="26" max="26" width="9.375" style="1446" customWidth="1"/>
    <col min="27" max="32" width="9.375" style="1445" customWidth="1"/>
    <col min="33" max="36" width="9.375" style="1446" customWidth="1"/>
    <col min="37" max="38" width="9.375" style="1447" customWidth="1"/>
    <col min="39" max="16384" width="9" style="1447"/>
  </cols>
  <sheetData>
    <row r="1" spans="1:36" ht="28.5">
      <c r="A1" s="1284" t="s">
        <v>1713</v>
      </c>
      <c r="B1" s="1285"/>
      <c r="C1" s="1286" t="s">
        <v>2422</v>
      </c>
      <c r="D1" s="1443">
        <f>SUM(D29:D30,D33:D39)</f>
        <v>0</v>
      </c>
      <c r="E1" s="1443"/>
      <c r="F1" s="1443"/>
      <c r="G1" s="1443"/>
      <c r="H1" s="1443"/>
      <c r="I1" s="1443"/>
      <c r="J1" s="1443"/>
      <c r="L1" s="1710" t="s">
        <v>1146</v>
      </c>
      <c r="M1" s="1928">
        <f>SUMPRODUCT((区片价!B5:B9=I2)*(区片价!C3:F3=E2)*(区片价!C5:F9))</f>
        <v>0</v>
      </c>
      <c r="N1" s="1931">
        <f>SUMPRODUCT((因素修正幅度!B5:B9=I2)*(因素修正幅度!C3:F3=E2)*(因素修正幅度!C5:F9))</f>
        <v>0</v>
      </c>
      <c r="O1" s="2238"/>
      <c r="P1" s="2238"/>
      <c r="Q1" s="2238"/>
      <c r="R1" s="2858" t="s">
        <v>2749</v>
      </c>
      <c r="S1" s="2858" t="s">
        <v>2750</v>
      </c>
      <c r="T1" s="2858" t="s">
        <v>2751</v>
      </c>
      <c r="U1" s="2858" t="s">
        <v>2752</v>
      </c>
      <c r="V1" s="2858" t="s">
        <v>2753</v>
      </c>
      <c r="W1" s="2859"/>
      <c r="X1" s="2859"/>
      <c r="Y1" s="2859"/>
      <c r="Z1" s="2859"/>
      <c r="AA1" s="2859"/>
      <c r="AB1" s="2859"/>
      <c r="AC1" s="2860"/>
      <c r="AD1" s="2861"/>
      <c r="AE1" s="2861"/>
      <c r="AF1" s="2861"/>
      <c r="AG1" s="2861"/>
      <c r="AH1" s="2861"/>
      <c r="AI1" s="2861"/>
      <c r="AJ1" s="2862"/>
    </row>
    <row r="2" spans="1:36" ht="24">
      <c r="A2" s="33" t="s">
        <v>1714</v>
      </c>
      <c r="B2" s="385" t="e">
        <f>C26</f>
        <v>#DIV/0!</v>
      </c>
      <c r="C2" s="1283" t="s">
        <v>1860</v>
      </c>
      <c r="D2" s="1448" t="s">
        <v>1910</v>
      </c>
      <c r="E2" s="1616"/>
      <c r="F2" s="1448" t="s">
        <v>1715</v>
      </c>
      <c r="G2" s="1713" t="str">
        <f>项目基本情况!F9</f>
        <v>二级</v>
      </c>
      <c r="H2" s="1716" t="s">
        <v>1716</v>
      </c>
      <c r="I2" s="1713" t="str">
        <f>项目基本情况!F10</f>
        <v>Ⅱ—06</v>
      </c>
      <c r="J2" s="1449"/>
      <c r="L2" s="1711" t="s">
        <v>1206</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1717</v>
      </c>
      <c r="B3" s="385" t="e">
        <f>ROUND(B2/D1,0)</f>
        <v>#DIV/0!</v>
      </c>
      <c r="C3" s="1283" t="s">
        <v>1718</v>
      </c>
      <c r="D3" s="1448" t="s">
        <v>1057</v>
      </c>
      <c r="E3" s="1617"/>
      <c r="F3" s="1664" t="s">
        <v>1893</v>
      </c>
      <c r="G3" s="1450">
        <f>项目基本情况!C15</f>
        <v>0</v>
      </c>
      <c r="H3" s="1451" t="s">
        <v>1058</v>
      </c>
      <c r="I3" s="1618">
        <v>7</v>
      </c>
      <c r="J3" s="1449" t="s">
        <v>1059</v>
      </c>
      <c r="L3" s="1711" t="s">
        <v>1384</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12"/>
      <c r="B4" s="3513"/>
      <c r="C4" s="3513"/>
      <c r="D4" s="3514"/>
      <c r="E4" s="3514"/>
      <c r="F4" s="3514"/>
      <c r="G4" s="3514"/>
      <c r="H4" s="3514"/>
      <c r="I4" s="3514"/>
      <c r="J4" s="3515"/>
      <c r="L4" s="1711" t="s">
        <v>1055</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59" customFormat="1" ht="15.75" thickBot="1">
      <c r="A5" s="1452" t="s">
        <v>1719</v>
      </c>
      <c r="B5" s="1453" t="s">
        <v>1720</v>
      </c>
      <c r="C5" s="1454" t="e">
        <f>ROUND(IF(E2="商业",IF(F16="增加",C6*C7+C16,C6*C7-C16),IF(E2="住宅",IF(F16="增加",C6*C12+C16,C6*C12-C16),IF(F16="增加",C6+C16,C6-C16))),0)</f>
        <v>#DIV/0!</v>
      </c>
      <c r="D5" s="3112">
        <f>ROUND(IF(E2="商业",IF(F16="增加",C6+C16,C6-C16)),0)</f>
        <v>0</v>
      </c>
      <c r="E5" s="1455"/>
      <c r="F5" s="1455"/>
      <c r="G5" s="1456"/>
      <c r="H5" s="1456"/>
      <c r="I5" s="1456"/>
      <c r="J5" s="1457"/>
      <c r="K5" s="2243"/>
      <c r="L5" s="1711" t="s">
        <v>1465</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0">
        <v>1</v>
      </c>
      <c r="B6" s="1461" t="s">
        <v>1720</v>
      </c>
      <c r="C6" s="1462">
        <f>SUMIF(L1:L12,G2,M1:M12)</f>
        <v>0</v>
      </c>
      <c r="D6" s="1463" t="s">
        <v>1721</v>
      </c>
      <c r="E6" s="1464"/>
      <c r="F6" s="1464"/>
      <c r="G6" s="1465"/>
      <c r="H6" s="1465"/>
      <c r="I6" s="1465"/>
      <c r="J6" s="1466"/>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496" t="str">
        <f>IF(E2="商业",IF(C8="不临58条商业街","",2),"")</f>
        <v/>
      </c>
      <c r="B7" s="1467" t="s">
        <v>1722</v>
      </c>
      <c r="C7" s="1468" t="e">
        <f>IF(C8="不临58条商业街",1,ROUND(1+(1.6*E8+1.2*E9+0.8*E10+0.4*E11)*C9,4))</f>
        <v>#DIV/0!</v>
      </c>
      <c r="D7" s="1469" t="s">
        <v>1723</v>
      </c>
      <c r="E7" s="1619"/>
      <c r="F7" s="1470"/>
      <c r="G7" s="1471"/>
      <c r="H7" s="1471"/>
      <c r="I7" s="1471"/>
      <c r="J7" s="1472"/>
      <c r="K7" s="2244"/>
      <c r="L7" s="1711" t="s">
        <v>1468</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2754</v>
      </c>
      <c r="X7" s="2869" t="str">
        <f>G2</f>
        <v>二级</v>
      </c>
      <c r="Y7" s="2869" t="s">
        <v>2755</v>
      </c>
      <c r="Z7" s="2870">
        <f>G3</f>
        <v>0</v>
      </c>
      <c r="AA7" s="2871"/>
      <c r="AB7" s="2871"/>
      <c r="AC7" s="2872"/>
      <c r="AD7" s="2873"/>
      <c r="AE7" s="2873"/>
      <c r="AF7" s="2873"/>
      <c r="AG7" s="2873"/>
      <c r="AH7" s="2873"/>
      <c r="AI7" s="2873"/>
      <c r="AJ7" s="2874"/>
    </row>
    <row r="8" spans="1:36" ht="15">
      <c r="A8" s="3497"/>
      <c r="B8" s="1451" t="s">
        <v>1724</v>
      </c>
      <c r="C8" s="1620"/>
      <c r="D8" s="1473" t="s">
        <v>1060</v>
      </c>
      <c r="E8" s="1474" t="e">
        <f>ROUND(C11/E7,4)</f>
        <v>#DIV/0!</v>
      </c>
      <c r="F8" s="1475" t="s">
        <v>1725</v>
      </c>
      <c r="G8" s="1476"/>
      <c r="H8" s="1476"/>
      <c r="I8" s="1476"/>
      <c r="J8" s="1477"/>
      <c r="L8" s="1711" t="s">
        <v>1470</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09" t="s">
        <v>2756</v>
      </c>
      <c r="X8" s="3510"/>
      <c r="Y8" s="2875" t="s">
        <v>167</v>
      </c>
      <c r="Z8" s="2875" t="s">
        <v>168</v>
      </c>
      <c r="AA8" s="2875" t="s">
        <v>163</v>
      </c>
      <c r="AB8" s="2875" t="s">
        <v>164</v>
      </c>
      <c r="AC8" s="2875" t="s">
        <v>165</v>
      </c>
      <c r="AD8" s="2875" t="s">
        <v>166</v>
      </c>
      <c r="AE8" s="2875" t="s">
        <v>1219</v>
      </c>
      <c r="AF8" s="2875" t="s">
        <v>1098</v>
      </c>
      <c r="AG8" s="2875" t="s">
        <v>1241</v>
      </c>
      <c r="AH8" s="2875" t="s">
        <v>1100</v>
      </c>
      <c r="AI8" s="2875" t="s">
        <v>1101</v>
      </c>
      <c r="AJ8" s="2875" t="s">
        <v>1102</v>
      </c>
    </row>
    <row r="9" spans="1:36" ht="15">
      <c r="A9" s="3497"/>
      <c r="B9" s="1451" t="s">
        <v>1726</v>
      </c>
      <c r="C9" s="1478">
        <f>SUMIF(修正!C59:C119,C8,修正!E59:E119)</f>
        <v>0</v>
      </c>
      <c r="D9" s="334" t="s">
        <v>1061</v>
      </c>
      <c r="E9" s="334" t="e">
        <f>ROUND(C11/E7,4)</f>
        <v>#DIV/0!</v>
      </c>
      <c r="F9" s="1475" t="s">
        <v>1727</v>
      </c>
      <c r="G9" s="1476"/>
      <c r="H9" s="1476"/>
      <c r="I9" s="1476"/>
      <c r="J9" s="1477"/>
      <c r="L9" s="1711" t="s">
        <v>1472</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11" t="s">
        <v>2757</v>
      </c>
      <c r="X9" s="2876" t="s">
        <v>2406</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497"/>
      <c r="B10" s="1451" t="s">
        <v>1728</v>
      </c>
      <c r="C10" s="334">
        <f>SUMIF(修正!C59:C119,C8,修正!F59:F119)</f>
        <v>0</v>
      </c>
      <c r="D10" s="334" t="s">
        <v>1062</v>
      </c>
      <c r="E10" s="334" t="e">
        <f>ROUND(C11/E7,4)</f>
        <v>#DIV/0!</v>
      </c>
      <c r="F10" s="1475" t="s">
        <v>1729</v>
      </c>
      <c r="G10" s="1476"/>
      <c r="H10" s="1476"/>
      <c r="I10" s="1476"/>
      <c r="J10" s="1477"/>
      <c r="L10" s="1711" t="s">
        <v>1476</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11"/>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497"/>
      <c r="B11" s="1479" t="s">
        <v>1730</v>
      </c>
      <c r="C11" s="1480">
        <f>C10/4</f>
        <v>0</v>
      </c>
      <c r="D11" s="1480" t="s">
        <v>1063</v>
      </c>
      <c r="E11" s="1480" t="e">
        <f>ROUND(C11/E7,4)</f>
        <v>#DIV/0!</v>
      </c>
      <c r="F11" s="1481" t="s">
        <v>1731</v>
      </c>
      <c r="G11" s="1482"/>
      <c r="H11" s="1482"/>
      <c r="I11" s="1482"/>
      <c r="J11" s="1483"/>
      <c r="L11" s="1711" t="s">
        <v>1908</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11" t="s">
        <v>2758</v>
      </c>
      <c r="X11" s="2880" t="s">
        <v>2755</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496" t="str">
        <f>IF(E2="住宅",2,"")</f>
        <v/>
      </c>
      <c r="B12" s="1484" t="s">
        <v>1732</v>
      </c>
      <c r="C12" s="1468">
        <f>ROUND(C15*D15*E15*F15*G15*H15*I15*J15,4)</f>
        <v>1.32</v>
      </c>
      <c r="D12" s="1485" t="s">
        <v>1733</v>
      </c>
      <c r="E12" s="1486"/>
      <c r="F12" s="1486"/>
      <c r="G12" s="1487"/>
      <c r="H12" s="1487"/>
      <c r="I12" s="1487"/>
      <c r="J12" s="1488"/>
      <c r="L12" s="1712" t="s">
        <v>1909</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11"/>
      <c r="X12" s="2882" t="s">
        <v>2409</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16"/>
      <c r="B13" s="1489" t="s">
        <v>1734</v>
      </c>
      <c r="C13" s="1490" t="s">
        <v>1735</v>
      </c>
      <c r="D13" s="1491" t="s">
        <v>1736</v>
      </c>
      <c r="E13" s="1491" t="s">
        <v>1737</v>
      </c>
      <c r="F13" s="30" t="s">
        <v>1064</v>
      </c>
      <c r="G13" s="1621" t="s">
        <v>1798</v>
      </c>
      <c r="H13" s="1621" t="s">
        <v>1798</v>
      </c>
      <c r="I13" s="1621" t="s">
        <v>1798</v>
      </c>
      <c r="J13" s="1622" t="s">
        <v>1798</v>
      </c>
      <c r="L13" s="2238"/>
      <c r="M13" s="2238"/>
      <c r="N13" s="2238"/>
      <c r="O13" s="2238"/>
      <c r="P13" s="2238"/>
      <c r="Q13" s="2238"/>
      <c r="R13" s="2863">
        <v>12</v>
      </c>
      <c r="S13" s="2864"/>
      <c r="T13" s="2863" t="e">
        <f t="shared" si="0"/>
        <v>#DIV/0!</v>
      </c>
      <c r="U13" s="2864"/>
      <c r="V13" s="2863" t="e">
        <f t="shared" si="1"/>
        <v>#DIV/0!</v>
      </c>
      <c r="W13" s="3511"/>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16"/>
      <c r="B14" s="1492"/>
      <c r="C14" s="1623" t="s">
        <v>150</v>
      </c>
      <c r="D14" s="1292" t="s">
        <v>151</v>
      </c>
      <c r="E14" s="1292" t="s">
        <v>151</v>
      </c>
      <c r="F14" s="1624" t="s">
        <v>1065</v>
      </c>
      <c r="G14" s="1493" t="s">
        <v>1770</v>
      </c>
      <c r="H14" s="1494"/>
      <c r="I14" s="1495"/>
      <c r="J14" s="1496"/>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17"/>
      <c r="B15" s="1497" t="s">
        <v>1738</v>
      </c>
      <c r="C15" s="367">
        <f>IF(C14="有",1.1,1)</f>
        <v>1.1000000000000001</v>
      </c>
      <c r="D15" s="367">
        <f>IF(D14="有",1.1,1)</f>
        <v>1</v>
      </c>
      <c r="E15" s="367">
        <f>IF(E14="有",1.1,1)</f>
        <v>1</v>
      </c>
      <c r="F15" s="367">
        <f>IF(F14="500米范围内",1.2,IF(F14="500-1000米",1.1,1))</f>
        <v>1.2</v>
      </c>
      <c r="G15" s="1625">
        <v>1</v>
      </c>
      <c r="H15" s="1625">
        <v>1</v>
      </c>
      <c r="I15" s="1625">
        <v>1</v>
      </c>
      <c r="J15" s="1626">
        <v>1</v>
      </c>
      <c r="L15" s="1531" t="s">
        <v>1760</v>
      </c>
      <c r="M15" s="1532" t="s">
        <v>1761</v>
      </c>
      <c r="N15" s="1532" t="s">
        <v>1762</v>
      </c>
      <c r="O15" s="1532" t="s">
        <v>895</v>
      </c>
      <c r="P15" s="1533" t="s">
        <v>1763</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496" t="b">
        <f>IF(E2="办公",2,IF(E2="工业",2,IF(E2="住宅",3,IF(E2="商业",IF(C8="不临58条商业街",2,3)))))</f>
        <v>0</v>
      </c>
      <c r="B16" s="1467" t="s">
        <v>1739</v>
      </c>
      <c r="C16" s="1611" t="e">
        <f>ROUND(SUM(G17:J17)/C17,0)</f>
        <v>#DIV/0!</v>
      </c>
      <c r="D16" s="1498" t="s">
        <v>1740</v>
      </c>
      <c r="E16" s="1627"/>
      <c r="F16" s="1628"/>
      <c r="G16" s="1629"/>
      <c r="H16" s="1629"/>
      <c r="I16" s="1629"/>
      <c r="J16" s="1630"/>
      <c r="L16" s="2535" t="s">
        <v>2526</v>
      </c>
      <c r="M16" s="1478">
        <v>0.25</v>
      </c>
      <c r="N16" s="1478">
        <v>0.2</v>
      </c>
      <c r="O16" s="1478">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497"/>
      <c r="B17" s="1499" t="s">
        <v>1741</v>
      </c>
      <c r="C17" s="1500">
        <f>SUMPRODUCT((修正!A2:A5=E2)*(修正!B1:M1=G2)*(修正!B2:M5))</f>
        <v>0</v>
      </c>
      <c r="D17" s="1501" t="s">
        <v>1742</v>
      </c>
      <c r="E17" s="1573" t="str">
        <f>IF(OR(G2="八级",G2="九级",G2="十级",G2="十一级",G2="十二级"),"五通一平","七通一平")</f>
        <v>七通一平</v>
      </c>
      <c r="F17" s="1502" t="s">
        <v>1743</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9" t="s">
        <v>2527</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7"/>
      <c r="AH17" s="1447"/>
      <c r="AI17" s="1447"/>
      <c r="AJ17" s="1447"/>
    </row>
    <row r="18" spans="1:37" s="1459" customFormat="1" ht="15.75" thickBot="1">
      <c r="A18" s="1504" t="s">
        <v>1744</v>
      </c>
      <c r="B18" s="1505" t="s">
        <v>1745</v>
      </c>
      <c r="C18" s="1506">
        <f>SUMIF(修正!C18:C39,E3,修正!E18:E39)</f>
        <v>0</v>
      </c>
      <c r="D18" s="1507"/>
      <c r="E18" s="1508"/>
      <c r="F18" s="1509"/>
      <c r="G18" s="1510"/>
      <c r="H18" s="1510"/>
      <c r="I18" s="1510"/>
      <c r="J18" s="1511"/>
      <c r="K18" s="2241"/>
      <c r="O18" s="2238"/>
      <c r="P18" s="2238"/>
      <c r="Q18" s="2238"/>
      <c r="R18" s="2238"/>
      <c r="S18" s="2238"/>
      <c r="T18" s="2238"/>
      <c r="U18" s="2238"/>
      <c r="V18" s="2238"/>
      <c r="W18" s="2238"/>
      <c r="X18" s="2238"/>
      <c r="Y18" s="2238"/>
      <c r="Z18" s="2238"/>
      <c r="AA18" s="2238"/>
      <c r="AB18" s="2238"/>
      <c r="AC18" s="2238"/>
      <c r="AD18" s="2238"/>
      <c r="AE18" s="2239"/>
      <c r="AF18" s="2239"/>
      <c r="AG18" s="1446"/>
      <c r="AH18" s="1446"/>
      <c r="AI18" s="1446"/>
    </row>
    <row r="19" spans="1:37" s="1459" customFormat="1" ht="27.75" thickBot="1">
      <c r="A19" s="1504" t="s">
        <v>1746</v>
      </c>
      <c r="B19" s="1505" t="s">
        <v>1747</v>
      </c>
      <c r="C19" s="1512" t="e">
        <f>ROUND(IF(H19="按公示增长率计算",SUMPRODUCT((地价!A3:A19=YEAR(G19)&amp;"-"&amp;ROUNDUP(MONTH(G19)/3,0))*(地价!X2:AB2=E2)*(地价!X3:AB19)),IF(H19="地价指数",M20/M19,(1+I19)^O19)),4)</f>
        <v>#DIV/0!</v>
      </c>
      <c r="D19" s="1513" t="s">
        <v>1066</v>
      </c>
      <c r="E19" s="1514">
        <v>41640</v>
      </c>
      <c r="F19" s="1513" t="s">
        <v>1067</v>
      </c>
      <c r="G19" s="1515">
        <f>'数据-取费表'!B2</f>
        <v>42998</v>
      </c>
      <c r="H19" s="2781" t="s">
        <v>2810</v>
      </c>
      <c r="I19" s="1516" t="str">
        <f>IF(H19="季度增幅（自定义）",SUMIF(N21:N24,E2,O21:O24),"")</f>
        <v/>
      </c>
      <c r="J19" s="1511"/>
      <c r="K19" s="2241"/>
      <c r="L19" s="3009" t="s">
        <v>2808</v>
      </c>
      <c r="M19" s="3010">
        <f>ROUND(SUMIF(地价!B2:F2,E2,地价!B19:F19),0)</f>
        <v>0</v>
      </c>
      <c r="N19" s="2541" t="s">
        <v>2528</v>
      </c>
      <c r="O19" s="1517">
        <f>ROUNDDOWN(DATEDIF(E19,G19,"M")/3,0)</f>
        <v>14</v>
      </c>
      <c r="P19" s="2538"/>
      <c r="R19" s="2238"/>
      <c r="S19" s="2238"/>
      <c r="T19" s="2238"/>
      <c r="U19" s="2238"/>
      <c r="V19" s="2238"/>
      <c r="W19" s="2238"/>
      <c r="X19" s="2238"/>
      <c r="Y19" s="2238"/>
      <c r="Z19" s="2238"/>
      <c r="AA19" s="2238"/>
      <c r="AB19" s="2238"/>
      <c r="AC19" s="2238"/>
      <c r="AD19" s="2238"/>
      <c r="AE19" s="2241"/>
      <c r="AF19" s="2240"/>
      <c r="AG19" s="1518"/>
      <c r="AH19" s="1446"/>
      <c r="AI19" s="1458"/>
      <c r="AJ19" s="1458"/>
      <c r="AK19" s="1458"/>
    </row>
    <row r="20" spans="1:37" s="1459" customFormat="1" ht="27.75" thickBot="1">
      <c r="A20" s="1527" t="s">
        <v>1748</v>
      </c>
      <c r="B20" s="1575" t="s">
        <v>1749</v>
      </c>
      <c r="C20" s="1519" t="e">
        <f>ROUND(POWER(1+G20,J20-I20)*(POWER(1+G20,I20)-1)/(POWER(1+G20,J20)-1),4)</f>
        <v>#DIV/0!</v>
      </c>
      <c r="D20" s="1576" t="s">
        <v>1750</v>
      </c>
      <c r="E20" s="3056">
        <f ca="1">存贷款利率!D4/100</f>
        <v>4.3499999999999997E-2</v>
      </c>
      <c r="F20" s="1576" t="s">
        <v>1751</v>
      </c>
      <c r="G20" s="1577">
        <f>SUMIF(M15:P15,E2,M17:P17)</f>
        <v>0</v>
      </c>
      <c r="H20" s="1576" t="s">
        <v>1752</v>
      </c>
      <c r="I20" s="1578">
        <f>'数据-取费表'!B13</f>
        <v>56.56</v>
      </c>
      <c r="J20" s="1579">
        <f>IF(E2="住宅",70,IF(E2="商业",40,50))</f>
        <v>50</v>
      </c>
      <c r="K20" s="2241"/>
      <c r="L20" s="3011" t="s">
        <v>2809</v>
      </c>
      <c r="M20" s="3012">
        <f>ROUND(SUMPRODUCT((地价!A4:A19=YEAR(G19)&amp;"-"&amp;ROUNDUP(MONTH(G19)/3,0))*(地价!B2:F2=E2)*(地价!B4:F19)),0)</f>
        <v>0</v>
      </c>
      <c r="N20" s="2782" t="s">
        <v>2656</v>
      </c>
      <c r="O20" s="2783" t="s">
        <v>2657</v>
      </c>
      <c r="P20" s="2784" t="s">
        <v>2664</v>
      </c>
      <c r="R20" s="2238"/>
      <c r="S20" s="2238"/>
      <c r="T20" s="2238"/>
      <c r="U20" s="2238"/>
      <c r="V20" s="2238"/>
      <c r="W20" s="2238"/>
      <c r="X20" s="2238"/>
      <c r="Y20" s="2238"/>
      <c r="Z20" s="2238"/>
      <c r="AA20" s="2238"/>
      <c r="AB20" s="2238"/>
      <c r="AC20" s="2238"/>
      <c r="AD20" s="2238"/>
      <c r="AE20" s="2241"/>
      <c r="AF20" s="2241"/>
    </row>
    <row r="21" spans="1:37" s="1459" customFormat="1" ht="14.25">
      <c r="A21" s="1580" t="s">
        <v>1753</v>
      </c>
      <c r="B21" s="1631" t="s">
        <v>1079</v>
      </c>
      <c r="C21" s="1581" t="b">
        <f>IF(B21="容积率修正",IF(G3&lt;=10,D22,J22),C23)</f>
        <v>0</v>
      </c>
      <c r="D21" s="1582"/>
      <c r="E21" s="1582"/>
      <c r="F21" s="1582"/>
      <c r="G21" s="1582"/>
      <c r="H21" s="1582"/>
      <c r="I21" s="1582"/>
      <c r="J21" s="1583"/>
      <c r="K21" s="2241"/>
      <c r="N21" s="2785" t="s">
        <v>2658</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59" customFormat="1" ht="14.25">
      <c r="A22" s="1612">
        <v>1</v>
      </c>
      <c r="B22" s="1521" t="s">
        <v>1754</v>
      </c>
      <c r="C22" s="1613" t="s">
        <v>1768</v>
      </c>
      <c r="D22" s="1613" t="b">
        <f>IF(E22=G22,F22,IF(G3&lt;=10,ROUND(F22+(H22-F22)*(G3-E22)/(G22-E22),4),"——"))</f>
        <v>0</v>
      </c>
      <c r="E22" s="1450">
        <f>ROUNDDOWN(G3,1)</f>
        <v>0</v>
      </c>
      <c r="F22" s="16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0">
        <f>ROUNDUP(G3,1)</f>
        <v>0</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3" t="s">
        <v>1081</v>
      </c>
      <c r="J22" s="1584" t="str">
        <f>IF(G3&gt;10,D113,"——")</f>
        <v>——</v>
      </c>
      <c r="K22" s="2241"/>
      <c r="N22" s="2785" t="s">
        <v>2659</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2">
        <v>2</v>
      </c>
      <c r="B23" s="1521" t="s">
        <v>1755</v>
      </c>
      <c r="C23" s="1522" t="e">
        <f>ROUND(IF(G3&gt;1,IF(I3&lt;7,SUMPRODUCT((B93:B98=I3)*(C92:N92=G2)*(C93:N98)),SUMIF(C92:N92,G2,C100:N100)),IF(I3&lt;7,SUMPRODUCT((B102:B107=I3)*(C92:N92=G2)*(C102:N107)),SUMIF(C92:N92,G2,C109:N109))),4)</f>
        <v>#DIV/0!</v>
      </c>
      <c r="D23" s="1494"/>
      <c r="E23" s="1494"/>
      <c r="F23" s="1523"/>
      <c r="G23" s="1524"/>
      <c r="H23" s="1525"/>
      <c r="I23" s="1526"/>
      <c r="J23" s="1585"/>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6"/>
    </row>
    <row r="24" spans="1:37" s="1459" customFormat="1" ht="15.75" thickBot="1">
      <c r="A24" s="1586" t="s">
        <v>1756</v>
      </c>
      <c r="B24" s="1587" t="s">
        <v>1757</v>
      </c>
      <c r="C24" s="1588">
        <f>SUMIF(A46:A88,E2,B46:B88)</f>
        <v>0</v>
      </c>
      <c r="D24" s="1589"/>
      <c r="E24" s="1590"/>
      <c r="F24" s="1590"/>
      <c r="G24" s="1590"/>
      <c r="H24" s="1590"/>
      <c r="I24" s="1590"/>
      <c r="J24" s="1591"/>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7" t="s">
        <v>1758</v>
      </c>
      <c r="B25" s="1528" t="s">
        <v>1759</v>
      </c>
      <c r="C25" s="1529"/>
      <c r="D25" s="1471"/>
      <c r="E25" s="1471"/>
      <c r="F25" s="1530"/>
      <c r="G25" s="1471"/>
      <c r="H25" s="1471"/>
      <c r="I25" s="1471"/>
      <c r="J25" s="1472"/>
      <c r="L25" s="2238"/>
      <c r="M25" s="2238"/>
      <c r="N25" s="2791" t="s">
        <v>2660</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4"/>
      <c r="B26" s="1521" t="s">
        <v>1795</v>
      </c>
      <c r="C26" s="340" t="e">
        <f>E29+SUM(E33:E39)</f>
        <v>#DIV/0!</v>
      </c>
      <c r="D26" s="1535"/>
      <c r="E26" s="1494"/>
      <c r="F26" s="1536"/>
      <c r="G26" s="1494"/>
      <c r="H26" s="1494"/>
      <c r="I26" s="1494"/>
      <c r="J26" s="1537"/>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4"/>
      <c r="B27" s="1538" t="s">
        <v>1796</v>
      </c>
      <c r="C27" s="1539" t="e">
        <f>E30+SUM(I33:I39)</f>
        <v>#DIV/0!</v>
      </c>
      <c r="D27" s="1540"/>
      <c r="E27" s="1541"/>
      <c r="F27" s="1542"/>
      <c r="G27" s="1541"/>
      <c r="H27" s="1541"/>
      <c r="I27" s="1541"/>
      <c r="J27" s="1543"/>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7"/>
      <c r="B28" s="1544" t="s">
        <v>1794</v>
      </c>
      <c r="C28" s="1545" t="s">
        <v>1764</v>
      </c>
      <c r="D28" s="1545" t="s">
        <v>1785</v>
      </c>
      <c r="E28" s="1546" t="s">
        <v>1786</v>
      </c>
      <c r="F28" s="1547"/>
      <c r="G28" s="1487"/>
      <c r="H28" s="1487"/>
      <c r="I28" s="1487"/>
      <c r="J28" s="1488"/>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4"/>
      <c r="B29" s="1548" t="s">
        <v>1789</v>
      </c>
      <c r="C29" s="340" t="e">
        <f>ROUND(C5*C18*C19*C20*C21*C24,0)</f>
        <v>#DIV/0!</v>
      </c>
      <c r="D29" s="1571"/>
      <c r="E29" s="1615" t="e">
        <f>ROUND(C29*D29,0)</f>
        <v>#DIV/0!</v>
      </c>
      <c r="F29" s="1549" t="s">
        <v>1765</v>
      </c>
      <c r="G29" s="1550"/>
      <c r="H29" s="1550"/>
      <c r="I29" s="1550"/>
      <c r="J29" s="1551"/>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7"/>
      <c r="AH29" s="1447"/>
      <c r="AI29" s="1447"/>
      <c r="AJ29" s="1447"/>
    </row>
    <row r="30" spans="1:37" ht="24.75" thickBot="1">
      <c r="A30" s="1552"/>
      <c r="B30" s="1553" t="s">
        <v>1790</v>
      </c>
      <c r="C30" s="367" t="e">
        <f>ROUND(IF(E2="工业",C29*M39,C29*M38),0)</f>
        <v>#DIV/0!</v>
      </c>
      <c r="D30" s="1572"/>
      <c r="E30" s="1615" t="e">
        <f>ROUND(C30*D30,0)</f>
        <v>#DIV/0!</v>
      </c>
      <c r="F30" s="1554" t="s">
        <v>1787</v>
      </c>
      <c r="G30" s="1555"/>
      <c r="H30" s="1555"/>
      <c r="I30" s="1555"/>
      <c r="J30" s="1556"/>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7"/>
      <c r="AH30" s="1447"/>
      <c r="AI30" s="1447"/>
      <c r="AJ30" s="1447"/>
    </row>
    <row r="31" spans="1:37">
      <c r="A31" s="1557"/>
      <c r="B31" s="1558" t="s">
        <v>1791</v>
      </c>
      <c r="C31" s="1559" t="s">
        <v>1792</v>
      </c>
      <c r="D31" s="1487"/>
      <c r="E31" s="1559"/>
      <c r="F31" s="1559"/>
      <c r="G31" s="1485" t="s">
        <v>1793</v>
      </c>
      <c r="H31" s="1487"/>
      <c r="I31" s="1560"/>
      <c r="J31" s="1488"/>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7"/>
      <c r="AH31" s="1447"/>
      <c r="AI31" s="1447"/>
      <c r="AJ31" s="1447"/>
    </row>
    <row r="32" spans="1:37" ht="24">
      <c r="A32" s="1614"/>
      <c r="B32" s="1561"/>
      <c r="C32" s="121" t="s">
        <v>1764</v>
      </c>
      <c r="D32" s="118" t="s">
        <v>1785</v>
      </c>
      <c r="E32" s="118" t="s">
        <v>1786</v>
      </c>
      <c r="F32" s="1562" t="s">
        <v>1767</v>
      </c>
      <c r="G32" s="1520" t="s">
        <v>1764</v>
      </c>
      <c r="H32" s="1520" t="s">
        <v>1785</v>
      </c>
      <c r="I32" s="1520" t="s">
        <v>1786</v>
      </c>
      <c r="J32" s="1563"/>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7"/>
      <c r="AH32" s="1447"/>
      <c r="AI32" s="1447"/>
      <c r="AJ32" s="1447"/>
    </row>
    <row r="33" spans="1:37" ht="12.75">
      <c r="A33" s="3506" t="s">
        <v>2912</v>
      </c>
      <c r="B33" s="1565" t="s">
        <v>1083</v>
      </c>
      <c r="C33" s="340" t="e">
        <f>ROUND(D5*C19*C20*C24*F33,0)</f>
        <v>#DIV/0!</v>
      </c>
      <c r="D33" s="1571"/>
      <c r="E33" s="334" t="e">
        <f t="shared" ref="E33:E39" si="6">ROUND(C33*D33,0)</f>
        <v>#DIV/0!</v>
      </c>
      <c r="F33" s="334">
        <f>SUMIF(修正!A45:A56,G2,修正!B45:B56)</f>
        <v>0.8</v>
      </c>
      <c r="G33" s="334" t="e">
        <f t="shared" ref="G33:G39" si="7">ROUND(IF(E2="工业",C33*$M$39,C33*$M$38),0)</f>
        <v>#DIV/0!</v>
      </c>
      <c r="H33" s="334">
        <f>D33</f>
        <v>0</v>
      </c>
      <c r="I33" s="334" t="e">
        <f t="shared" ref="I33:I39" si="8">ROUND(G33*H33,0)</f>
        <v>#DIV/0!</v>
      </c>
      <c r="J33" s="1566"/>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07"/>
      <c r="B34" s="1490" t="s">
        <v>1084</v>
      </c>
      <c r="C34" s="340" t="e">
        <f>ROUND(D5*C19*C20*C24*F34,0)</f>
        <v>#DIV/0!</v>
      </c>
      <c r="D34" s="1571"/>
      <c r="E34" s="334" t="e">
        <f t="shared" si="6"/>
        <v>#DIV/0!</v>
      </c>
      <c r="F34" s="334">
        <f>SUMIF(修正!A45:A56,G2,修正!C45:C56)</f>
        <v>0.5</v>
      </c>
      <c r="G34" s="334" t="e">
        <f t="shared" si="7"/>
        <v>#DIV/0!</v>
      </c>
      <c r="H34" s="334">
        <f t="shared" ref="H34:H39" si="9">D34</f>
        <v>0</v>
      </c>
      <c r="I34" s="334" t="e">
        <f t="shared" si="8"/>
        <v>#DIV/0!</v>
      </c>
      <c r="J34" s="1566"/>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07"/>
      <c r="B35" s="1490" t="s">
        <v>1085</v>
      </c>
      <c r="C35" s="340" t="e">
        <f>ROUND(D5*C19*C20*C24*F35,0)</f>
        <v>#DIV/0!</v>
      </c>
      <c r="D35" s="1571"/>
      <c r="E35" s="334" t="e">
        <f t="shared" si="6"/>
        <v>#DIV/0!</v>
      </c>
      <c r="F35" s="334">
        <f>SUMIF(修正!A45:A56,G2,修正!D45:D56)</f>
        <v>0.36</v>
      </c>
      <c r="G35" s="334" t="e">
        <f t="shared" si="7"/>
        <v>#DIV/0!</v>
      </c>
      <c r="H35" s="334">
        <f t="shared" si="9"/>
        <v>0</v>
      </c>
      <c r="I35" s="334" t="e">
        <f t="shared" si="8"/>
        <v>#DIV/0!</v>
      </c>
      <c r="J35" s="1566"/>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08"/>
      <c r="B36" s="1490" t="s">
        <v>1086</v>
      </c>
      <c r="C36" s="340" t="e">
        <f>ROUND(D5*C19*C20*C24*F36,0)</f>
        <v>#DIV/0!</v>
      </c>
      <c r="D36" s="1571"/>
      <c r="E36" s="334" t="e">
        <f t="shared" si="6"/>
        <v>#DIV/0!</v>
      </c>
      <c r="F36" s="334">
        <f>SUMIF(修正!A45:A56,G2,修正!E45:E56)</f>
        <v>0.3</v>
      </c>
      <c r="G36" s="334" t="e">
        <f t="shared" si="7"/>
        <v>#DIV/0!</v>
      </c>
      <c r="H36" s="334">
        <f t="shared" si="9"/>
        <v>0</v>
      </c>
      <c r="I36" s="334" t="e">
        <f t="shared" si="8"/>
        <v>#DIV/0!</v>
      </c>
      <c r="J36" s="1566"/>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4"/>
      <c r="B37" s="1490" t="s">
        <v>1087</v>
      </c>
      <c r="C37" s="334" t="e">
        <f>ROUND(C5*C19*C20*C24*F37,0)</f>
        <v>#DIV/0!</v>
      </c>
      <c r="D37" s="1571"/>
      <c r="E37" s="334" t="e">
        <f t="shared" si="6"/>
        <v>#DIV/0!</v>
      </c>
      <c r="F37" s="340">
        <f>SUMIF(修正!A45:A56,G2,修正!F45:F56)</f>
        <v>0.3</v>
      </c>
      <c r="G37" s="334" t="e">
        <f t="shared" si="7"/>
        <v>#DIV/0!</v>
      </c>
      <c r="H37" s="334">
        <f t="shared" si="9"/>
        <v>0</v>
      </c>
      <c r="I37" s="334" t="e">
        <f t="shared" si="8"/>
        <v>#DIV/0!</v>
      </c>
      <c r="J37" s="1566"/>
      <c r="L37" s="1593" t="s">
        <v>1788</v>
      </c>
      <c r="M37" s="1472"/>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4"/>
      <c r="B38" s="1490" t="s">
        <v>1088</v>
      </c>
      <c r="C38" s="334" t="e">
        <f>ROUND(C5*C19*C20*C24*F38,0)</f>
        <v>#DIV/0!</v>
      </c>
      <c r="D38" s="1571"/>
      <c r="E38" s="334" t="e">
        <f t="shared" si="6"/>
        <v>#DIV/0!</v>
      </c>
      <c r="F38" s="340">
        <f>SUMIF(修正!A45:A56,G2,修正!G45:G56)</f>
        <v>0.3</v>
      </c>
      <c r="G38" s="334" t="e">
        <f t="shared" si="7"/>
        <v>#DIV/0!</v>
      </c>
      <c r="H38" s="334">
        <f t="shared" si="9"/>
        <v>0</v>
      </c>
      <c r="I38" s="334" t="e">
        <f t="shared" si="8"/>
        <v>#DIV/0!</v>
      </c>
      <c r="J38" s="1566"/>
      <c r="L38" s="1594" t="s">
        <v>1766</v>
      </c>
      <c r="M38" s="1595">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2"/>
      <c r="B39" s="1567" t="s">
        <v>1089</v>
      </c>
      <c r="C39" s="367" t="e">
        <f>ROUND(C5*C19*C20*C24*F39,0)</f>
        <v>#DIV/0!</v>
      </c>
      <c r="D39" s="1572"/>
      <c r="E39" s="367" t="e">
        <f t="shared" si="6"/>
        <v>#DIV/0!</v>
      </c>
      <c r="F39" s="1568">
        <f>SUMIF(修正!A45:A56,G2,修正!H45:H56)</f>
        <v>0.25</v>
      </c>
      <c r="G39" s="367" t="e">
        <f t="shared" si="7"/>
        <v>#DIV/0!</v>
      </c>
      <c r="H39" s="367">
        <f t="shared" si="9"/>
        <v>0</v>
      </c>
      <c r="I39" s="367" t="e">
        <f t="shared" si="8"/>
        <v>#DIV/0!</v>
      </c>
      <c r="J39" s="1569"/>
      <c r="L39" s="1596" t="s">
        <v>1763</v>
      </c>
      <c r="M39" s="1597">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4"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5"/>
      <c r="AH40" s="1445"/>
      <c r="AI40" s="1445"/>
      <c r="AJ40" s="1445"/>
    </row>
    <row r="41" spans="1:37" s="1444"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5"/>
      <c r="AH41" s="1445"/>
      <c r="AI41" s="1445"/>
      <c r="AJ41" s="1445"/>
    </row>
    <row r="42" spans="1:37" s="1444"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5"/>
      <c r="AH42" s="1445"/>
      <c r="AI42" s="1445"/>
      <c r="AJ42" s="1445"/>
    </row>
    <row r="43" spans="1:37" s="1444"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5"/>
      <c r="AH43" s="1445"/>
      <c r="AI43" s="1445"/>
      <c r="AJ43" s="1445"/>
    </row>
    <row r="44" spans="1:37" s="1444"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5"/>
      <c r="AH44" s="1445"/>
      <c r="AI44" s="1445"/>
      <c r="AJ44" s="1445"/>
    </row>
    <row r="45" spans="1:37" s="1444" customFormat="1" ht="15" thickBot="1">
      <c r="A45" s="1296" t="s">
        <v>1693</v>
      </c>
      <c r="B45" s="1297"/>
      <c r="C45" s="1023"/>
      <c r="D45" s="191"/>
      <c r="E45" s="191"/>
      <c r="F45" s="189"/>
      <c r="G45" s="1298"/>
      <c r="H45" s="189"/>
      <c r="I45" s="1298"/>
      <c r="J45" s="1298"/>
      <c r="K45" s="1298"/>
      <c r="L45" s="1298"/>
      <c r="M45" s="1298"/>
      <c r="N45" s="1443"/>
      <c r="O45" s="2238"/>
      <c r="P45" s="2238"/>
      <c r="Q45" s="2238"/>
      <c r="R45" s="2238"/>
      <c r="S45" s="2238"/>
      <c r="T45" s="2238"/>
      <c r="U45" s="2238"/>
      <c r="V45" s="2238"/>
      <c r="W45" s="2238"/>
      <c r="X45" s="2238"/>
      <c r="Y45" s="2238"/>
      <c r="Z45" s="2239"/>
      <c r="AA45" s="2239"/>
      <c r="AB45" s="2239"/>
      <c r="AC45" s="2239"/>
      <c r="AD45" s="2239"/>
      <c r="AE45" s="2239"/>
      <c r="AF45" s="2239"/>
      <c r="AG45" s="1445"/>
      <c r="AH45" s="1445"/>
      <c r="AI45" s="1445"/>
      <c r="AJ45" s="1445"/>
    </row>
    <row r="46" spans="1:37" s="1444" customFormat="1" ht="15">
      <c r="A46" s="1299" t="s">
        <v>1080</v>
      </c>
      <c r="B46" s="1300">
        <f>1+E48</f>
        <v>1</v>
      </c>
      <c r="C46" s="1301"/>
      <c r="D46" s="1302"/>
      <c r="E46" s="1303"/>
      <c r="F46" s="2415"/>
      <c r="G46" s="189"/>
      <c r="H46" s="1298"/>
      <c r="I46" s="1298"/>
      <c r="J46" s="1298"/>
      <c r="K46" s="1298"/>
      <c r="L46" s="1298"/>
      <c r="M46" s="1443"/>
      <c r="N46" s="2990"/>
      <c r="O46" s="2238"/>
      <c r="P46" s="2238"/>
      <c r="Q46" s="2238"/>
      <c r="R46" s="2238"/>
      <c r="S46" s="2238"/>
      <c r="T46" s="2238"/>
      <c r="U46" s="2238"/>
      <c r="V46" s="2238"/>
      <c r="W46" s="2238"/>
      <c r="X46" s="2238"/>
      <c r="Y46" s="2239"/>
      <c r="Z46" s="2239"/>
      <c r="AA46" s="2239"/>
      <c r="AB46" s="2239"/>
      <c r="AC46" s="2239"/>
      <c r="AD46" s="2239"/>
      <c r="AE46" s="2239"/>
      <c r="AF46" s="1445"/>
      <c r="AG46" s="1445"/>
      <c r="AH46" s="1445"/>
      <c r="AI46" s="1445"/>
    </row>
    <row r="47" spans="1:37" s="1444" customFormat="1" ht="24">
      <c r="A47" s="1305" t="s">
        <v>1694</v>
      </c>
      <c r="B47" s="1306" t="s">
        <v>1695</v>
      </c>
      <c r="C47" s="1307" t="s">
        <v>1696</v>
      </c>
      <c r="D47" s="1308" t="s">
        <v>1779</v>
      </c>
      <c r="E47" s="1309" t="s">
        <v>1781</v>
      </c>
      <c r="F47" s="1310" t="s">
        <v>2177</v>
      </c>
      <c r="G47" s="1308" t="s">
        <v>1774</v>
      </c>
      <c r="H47" s="2411" t="s">
        <v>2387</v>
      </c>
      <c r="I47" s="1308" t="s">
        <v>1780</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5"/>
      <c r="AI47" s="1445"/>
      <c r="AJ47" s="1445"/>
      <c r="AK47" s="1445"/>
    </row>
    <row r="48" spans="1:37" s="1444" customFormat="1" ht="36">
      <c r="A48" s="1305" t="s">
        <v>1697</v>
      </c>
      <c r="B48" s="1311" t="str">
        <f>估价对象房地状况!C16</f>
        <v>估价对象位于XX商圈，周边商业氛围成熟，人流量大，商业繁华度好</v>
      </c>
      <c r="C48" s="1292"/>
      <c r="D48" s="2412">
        <f t="shared" ref="D48:D56" si="10">SUMIF($J$47:$N$47,C48,J48:N48)</f>
        <v>0</v>
      </c>
      <c r="E48" s="1314">
        <f>ROUND(SUM(D48:D56),4)</f>
        <v>0</v>
      </c>
      <c r="F48" s="1315" t="str">
        <f>IF(E2="商业",SUMIF(L1:L12,G2,N1:N12),"——")</f>
        <v>——</v>
      </c>
      <c r="G48" s="2413"/>
      <c r="H48" s="2433" t="str">
        <f t="shared" ref="H48:H56" si="11">IFERROR(ROUNDDOWN($F$48*I48/2,4),"——")</f>
        <v>——</v>
      </c>
      <c r="I48" s="1313">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5"/>
      <c r="AI48" s="1445"/>
      <c r="AJ48" s="1445"/>
      <c r="AK48" s="1445"/>
    </row>
    <row r="49" spans="1:37" s="1444" customFormat="1" ht="48">
      <c r="A49" s="1305" t="s">
        <v>1699</v>
      </c>
      <c r="B49" s="1316" t="str">
        <f>估价对象房地状况!C18</f>
        <v>估价对象周边道路状况、公共交通通达情况、停车便捷程度，综合评价交通便捷度较好</v>
      </c>
      <c r="C49" s="1292"/>
      <c r="D49" s="2412">
        <f t="shared" si="10"/>
        <v>0</v>
      </c>
      <c r="E49" s="1317"/>
      <c r="F49" s="1315"/>
      <c r="G49" s="2413"/>
      <c r="H49" s="2433" t="str">
        <f t="shared" si="11"/>
        <v>——</v>
      </c>
      <c r="I49" s="1313">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5"/>
      <c r="AI49" s="1445"/>
      <c r="AJ49" s="1445"/>
      <c r="AK49" s="1445"/>
    </row>
    <row r="50" spans="1:37" s="1444" customFormat="1" ht="24">
      <c r="A50" s="1305" t="s">
        <v>1700</v>
      </c>
      <c r="B50" s="1316">
        <f>估价对象房地状况!C19</f>
        <v>0</v>
      </c>
      <c r="C50" s="1292"/>
      <c r="D50" s="2412">
        <f t="shared" si="10"/>
        <v>0</v>
      </c>
      <c r="E50" s="1317"/>
      <c r="F50" s="1315"/>
      <c r="G50" s="2413"/>
      <c r="H50" s="2433" t="str">
        <f t="shared" si="11"/>
        <v>——</v>
      </c>
      <c r="I50" s="1313">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5"/>
      <c r="AI50" s="1445"/>
      <c r="AJ50" s="1445"/>
      <c r="AK50" s="1445"/>
    </row>
    <row r="51" spans="1:37" s="1444" customFormat="1" ht="36">
      <c r="A51" s="1305" t="s">
        <v>1701</v>
      </c>
      <c r="B51" s="3057" t="s">
        <v>2885</v>
      </c>
      <c r="C51" s="1292"/>
      <c r="D51" s="2412">
        <f t="shared" si="10"/>
        <v>0</v>
      </c>
      <c r="E51" s="1317"/>
      <c r="F51" s="1315"/>
      <c r="G51" s="2413"/>
      <c r="H51" s="2433" t="str">
        <f t="shared" si="11"/>
        <v>——</v>
      </c>
      <c r="I51" s="1313">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5"/>
      <c r="AI51" s="1445"/>
      <c r="AJ51" s="1445"/>
      <c r="AK51" s="1445"/>
    </row>
    <row r="52" spans="1:37" s="1444" customFormat="1" ht="24">
      <c r="A52" s="1305" t="s">
        <v>1702</v>
      </c>
      <c r="B52" s="1316">
        <f>估价对象房地状况!C24</f>
        <v>0</v>
      </c>
      <c r="C52" s="1292"/>
      <c r="D52" s="2412">
        <f t="shared" si="10"/>
        <v>0</v>
      </c>
      <c r="E52" s="1317"/>
      <c r="F52" s="1315"/>
      <c r="G52" s="2413"/>
      <c r="H52" s="2433" t="str">
        <f t="shared" si="11"/>
        <v>——</v>
      </c>
      <c r="I52" s="1313">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5"/>
      <c r="AI52" s="1445"/>
      <c r="AJ52" s="1445"/>
      <c r="AK52" s="1445"/>
    </row>
    <row r="53" spans="1:37" s="1444" customFormat="1" ht="24">
      <c r="A53" s="1305" t="s">
        <v>1703</v>
      </c>
      <c r="B53" s="3058" t="s">
        <v>2886</v>
      </c>
      <c r="C53" s="1292"/>
      <c r="D53" s="2412">
        <f t="shared" si="10"/>
        <v>0</v>
      </c>
      <c r="E53" s="1317"/>
      <c r="F53" s="1315"/>
      <c r="G53" s="2413"/>
      <c r="H53" s="2433" t="str">
        <f t="shared" si="11"/>
        <v>——</v>
      </c>
      <c r="I53" s="1313">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5"/>
      <c r="AI53" s="1445"/>
      <c r="AJ53" s="1445"/>
      <c r="AK53" s="1445"/>
    </row>
    <row r="54" spans="1:37" s="1444" customFormat="1" ht="24">
      <c r="A54" s="1318" t="s">
        <v>1704</v>
      </c>
      <c r="B54" s="2407" t="str">
        <f>估价对象房地状况!C21</f>
        <v>估价对象所在区域公共配套设施齐备情况</v>
      </c>
      <c r="C54" s="1292"/>
      <c r="D54" s="2412">
        <f t="shared" si="10"/>
        <v>0</v>
      </c>
      <c r="E54" s="1317"/>
      <c r="F54" s="1315"/>
      <c r="G54" s="2413"/>
      <c r="H54" s="2433" t="str">
        <f t="shared" si="11"/>
        <v>——</v>
      </c>
      <c r="I54" s="1313">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5"/>
      <c r="AI54" s="1445"/>
      <c r="AJ54" s="1445"/>
      <c r="AK54" s="1445"/>
    </row>
    <row r="55" spans="1:37" s="1444" customFormat="1" ht="24">
      <c r="A55" s="1318" t="s">
        <v>1705</v>
      </c>
      <c r="B55" s="1316" t="str">
        <f>估价对象房地状况!C22</f>
        <v>估价对象所在区域基础设施水平</v>
      </c>
      <c r="C55" s="1292"/>
      <c r="D55" s="2412">
        <f t="shared" si="10"/>
        <v>0</v>
      </c>
      <c r="E55" s="1317"/>
      <c r="F55" s="1315"/>
      <c r="G55" s="2413"/>
      <c r="H55" s="2433" t="str">
        <f t="shared" si="11"/>
        <v>——</v>
      </c>
      <c r="I55" s="1313">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5"/>
      <c r="AI55" s="1445"/>
      <c r="AJ55" s="1445"/>
      <c r="AK55" s="1445"/>
    </row>
    <row r="56" spans="1:37" s="1444" customFormat="1" ht="36.75" thickBot="1">
      <c r="A56" s="1320" t="s">
        <v>1706</v>
      </c>
      <c r="B56" s="1321" t="str">
        <f>估价对象房地状况!C20</f>
        <v>区域自然环境：；人文环境；综合评价环境状况一般</v>
      </c>
      <c r="C56" s="1292"/>
      <c r="D56" s="2412">
        <f t="shared" si="10"/>
        <v>0</v>
      </c>
      <c r="E56" s="1323"/>
      <c r="F56" s="1315"/>
      <c r="G56" s="2413"/>
      <c r="H56" s="2433" t="str">
        <f t="shared" si="11"/>
        <v>——</v>
      </c>
      <c r="I56" s="1322">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5"/>
      <c r="AI56" s="1445"/>
      <c r="AJ56" s="1445"/>
      <c r="AK56" s="1445"/>
    </row>
    <row r="57" spans="1:37" s="1444" customFormat="1" ht="15">
      <c r="A57" s="1299" t="s">
        <v>1082</v>
      </c>
      <c r="B57" s="2408">
        <f>1+E59</f>
        <v>1</v>
      </c>
      <c r="C57" s="2416"/>
      <c r="D57" s="1302"/>
      <c r="E57" s="1303"/>
      <c r="F57" s="2415"/>
      <c r="G57" s="189"/>
      <c r="H57" s="189"/>
      <c r="I57" s="189"/>
      <c r="J57" s="1298"/>
      <c r="K57" s="1298"/>
      <c r="L57" s="1298"/>
      <c r="M57" s="1298"/>
      <c r="N57" s="1298"/>
      <c r="O57" s="2238"/>
      <c r="P57" s="2238"/>
      <c r="Q57" s="2238"/>
      <c r="R57" s="2238"/>
      <c r="S57" s="2238"/>
      <c r="T57" s="2238"/>
      <c r="U57" s="2238"/>
      <c r="V57" s="2238"/>
      <c r="W57" s="2238"/>
      <c r="X57" s="2238"/>
      <c r="Y57" s="2238"/>
      <c r="Z57" s="2238"/>
      <c r="AA57" s="2239"/>
      <c r="AB57" s="2239"/>
      <c r="AC57" s="2239"/>
      <c r="AD57" s="2239"/>
      <c r="AE57" s="2239"/>
      <c r="AF57" s="2239"/>
      <c r="AG57" s="2239"/>
      <c r="AH57" s="1445"/>
      <c r="AI57" s="1445"/>
      <c r="AJ57" s="1445"/>
      <c r="AK57" s="1445"/>
    </row>
    <row r="58" spans="1:37" s="1444" customFormat="1" ht="24">
      <c r="A58" s="1305" t="s">
        <v>1694</v>
      </c>
      <c r="B58" s="1316"/>
      <c r="C58" s="1307" t="s">
        <v>1696</v>
      </c>
      <c r="D58" s="1308" t="s">
        <v>1776</v>
      </c>
      <c r="E58" s="1309" t="s">
        <v>1778</v>
      </c>
      <c r="F58" s="1310" t="s">
        <v>2177</v>
      </c>
      <c r="G58" s="1308" t="s">
        <v>1774</v>
      </c>
      <c r="H58" s="2411" t="s">
        <v>2388</v>
      </c>
      <c r="I58" s="1308" t="s">
        <v>1777</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5"/>
      <c r="AI58" s="1445"/>
      <c r="AJ58" s="1445"/>
      <c r="AK58" s="1445"/>
    </row>
    <row r="59" spans="1:37" s="1444" customFormat="1" ht="36">
      <c r="A59" s="1305" t="s">
        <v>1707</v>
      </c>
      <c r="B59" s="1311" t="str">
        <f>估价对象房地状况!C17</f>
        <v>估价对象位于XX商圈，周边办公楼项目较多，入驻率高，办公集聚程度较好</v>
      </c>
      <c r="C59" s="1292"/>
      <c r="D59" s="2412">
        <f t="shared" ref="D59:D67" si="15">SUMIF($J$58:$N$58,C59,J59:N59)</f>
        <v>0</v>
      </c>
      <c r="E59" s="1314">
        <f>ROUND(SUM(D59:D67),4)</f>
        <v>0</v>
      </c>
      <c r="F59" s="1315" t="str">
        <f>IF(E2="办公",SUMIF(L1:L12,G2,N1:N12),"——")</f>
        <v>——</v>
      </c>
      <c r="G59" s="2413"/>
      <c r="H59" s="2433" t="str">
        <f t="shared" ref="H59:H67" si="16">IFERROR(ROUNDDOWN($F$59*I59/2,4),"——")</f>
        <v>——</v>
      </c>
      <c r="I59" s="1313">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5"/>
      <c r="AI59" s="1445"/>
      <c r="AJ59" s="1445"/>
      <c r="AK59" s="1445"/>
    </row>
    <row r="60" spans="1:37" s="1444" customFormat="1" ht="48">
      <c r="A60" s="1305" t="s">
        <v>1699</v>
      </c>
      <c r="B60" s="1316" t="str">
        <f>估价对象房地状况!C18</f>
        <v>估价对象周边道路状况、公共交通通达情况、停车便捷程度，综合评价交通便捷度较好</v>
      </c>
      <c r="C60" s="1292"/>
      <c r="D60" s="2412">
        <f t="shared" si="15"/>
        <v>0</v>
      </c>
      <c r="E60" s="1317"/>
      <c r="F60" s="1315"/>
      <c r="G60" s="2413"/>
      <c r="H60" s="2433" t="str">
        <f t="shared" si="16"/>
        <v>——</v>
      </c>
      <c r="I60" s="1313">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5"/>
      <c r="AI60" s="1445"/>
      <c r="AJ60" s="1445"/>
      <c r="AK60" s="1445"/>
    </row>
    <row r="61" spans="1:37" s="1444" customFormat="1" ht="24">
      <c r="A61" s="1305" t="s">
        <v>1700</v>
      </c>
      <c r="B61" s="1316">
        <f>估价对象房地状况!C19</f>
        <v>0</v>
      </c>
      <c r="C61" s="1292"/>
      <c r="D61" s="2412">
        <f t="shared" si="15"/>
        <v>0</v>
      </c>
      <c r="E61" s="1317"/>
      <c r="F61" s="1315"/>
      <c r="G61" s="2413"/>
      <c r="H61" s="2433" t="str">
        <f t="shared" si="16"/>
        <v>——</v>
      </c>
      <c r="I61" s="1313">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5"/>
      <c r="AI61" s="1445"/>
      <c r="AJ61" s="1445"/>
      <c r="AK61" s="1445"/>
    </row>
    <row r="62" spans="1:37" s="1444" customFormat="1" ht="36">
      <c r="A62" s="1305" t="s">
        <v>1701</v>
      </c>
      <c r="B62" s="3057" t="s">
        <v>2885</v>
      </c>
      <c r="C62" s="1292"/>
      <c r="D62" s="2412">
        <f t="shared" si="15"/>
        <v>0</v>
      </c>
      <c r="E62" s="1317"/>
      <c r="F62" s="1315"/>
      <c r="G62" s="2413"/>
      <c r="H62" s="2433" t="str">
        <f t="shared" si="16"/>
        <v>——</v>
      </c>
      <c r="I62" s="1313">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5"/>
      <c r="AI62" s="1445"/>
      <c r="AJ62" s="1445"/>
      <c r="AK62" s="1445"/>
    </row>
    <row r="63" spans="1:37" s="1444" customFormat="1" ht="24">
      <c r="A63" s="1305" t="s">
        <v>1702</v>
      </c>
      <c r="B63" s="1316">
        <f>估价对象房地状况!C24</f>
        <v>0</v>
      </c>
      <c r="C63" s="1292"/>
      <c r="D63" s="2412">
        <f t="shared" si="15"/>
        <v>0</v>
      </c>
      <c r="E63" s="1317"/>
      <c r="F63" s="1315"/>
      <c r="G63" s="2413"/>
      <c r="H63" s="2433" t="str">
        <f t="shared" si="16"/>
        <v>——</v>
      </c>
      <c r="I63" s="1313">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5"/>
      <c r="AI63" s="1445"/>
      <c r="AJ63" s="1445"/>
      <c r="AK63" s="1445"/>
    </row>
    <row r="64" spans="1:37" s="1444" customFormat="1" ht="24">
      <c r="A64" s="1305" t="s">
        <v>1703</v>
      </c>
      <c r="B64" s="3058" t="s">
        <v>2886</v>
      </c>
      <c r="C64" s="1292"/>
      <c r="D64" s="2412">
        <f t="shared" si="15"/>
        <v>0</v>
      </c>
      <c r="E64" s="1317"/>
      <c r="F64" s="1315"/>
      <c r="G64" s="2413"/>
      <c r="H64" s="2433" t="str">
        <f t="shared" si="16"/>
        <v>——</v>
      </c>
      <c r="I64" s="1313">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5"/>
      <c r="AI64" s="1445"/>
      <c r="AJ64" s="1445"/>
      <c r="AK64" s="1445"/>
    </row>
    <row r="65" spans="1:37" s="1444" customFormat="1" ht="24">
      <c r="A65" s="1305" t="s">
        <v>1704</v>
      </c>
      <c r="B65" s="2407" t="str">
        <f>估价对象房地状况!C21</f>
        <v>估价对象所在区域公共配套设施齐备情况</v>
      </c>
      <c r="C65" s="1292"/>
      <c r="D65" s="2412">
        <f t="shared" si="15"/>
        <v>0</v>
      </c>
      <c r="E65" s="1317"/>
      <c r="F65" s="1315"/>
      <c r="G65" s="2413"/>
      <c r="H65" s="2433" t="str">
        <f t="shared" si="16"/>
        <v>——</v>
      </c>
      <c r="I65" s="1313">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5"/>
      <c r="AI65" s="1445"/>
      <c r="AJ65" s="1445"/>
      <c r="AK65" s="1445"/>
    </row>
    <row r="66" spans="1:37" s="1444" customFormat="1" ht="24">
      <c r="A66" s="1305" t="s">
        <v>1705</v>
      </c>
      <c r="B66" s="2407" t="str">
        <f>估价对象房地状况!C22</f>
        <v>估价对象所在区域基础设施水平</v>
      </c>
      <c r="C66" s="1292"/>
      <c r="D66" s="2412">
        <f t="shared" si="15"/>
        <v>0</v>
      </c>
      <c r="E66" s="1317"/>
      <c r="F66" s="1315"/>
      <c r="G66" s="2413"/>
      <c r="H66" s="2433" t="str">
        <f t="shared" si="16"/>
        <v>——</v>
      </c>
      <c r="I66" s="1313">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5"/>
      <c r="AI66" s="1445"/>
      <c r="AJ66" s="1445"/>
      <c r="AK66" s="1445"/>
    </row>
    <row r="67" spans="1:37" s="1444" customFormat="1" ht="36.75" thickBot="1">
      <c r="A67" s="1320" t="s">
        <v>1706</v>
      </c>
      <c r="B67" s="1324" t="str">
        <f>估价对象房地状况!C20</f>
        <v>区域自然环境：；人文环境；综合评价环境状况一般</v>
      </c>
      <c r="C67" s="1292"/>
      <c r="D67" s="2412">
        <f t="shared" si="15"/>
        <v>0</v>
      </c>
      <c r="E67" s="1323"/>
      <c r="F67" s="1315"/>
      <c r="G67" s="2413"/>
      <c r="H67" s="2433" t="str">
        <f t="shared" si="16"/>
        <v>——</v>
      </c>
      <c r="I67" s="1322">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5"/>
      <c r="AI67" s="1445"/>
      <c r="AJ67" s="1445"/>
      <c r="AK67" s="1445"/>
    </row>
    <row r="68" spans="1:37" s="1444" customFormat="1" ht="15">
      <c r="A68" s="1299" t="s">
        <v>1769</v>
      </c>
      <c r="B68" s="2408">
        <f>1+E70</f>
        <v>1</v>
      </c>
      <c r="C68" s="2416"/>
      <c r="D68" s="1302"/>
      <c r="E68" s="1303"/>
      <c r="F68" s="2415"/>
      <c r="G68" s="189"/>
      <c r="H68" s="189"/>
      <c r="I68" s="189"/>
      <c r="J68" s="1298"/>
      <c r="K68" s="1298"/>
      <c r="L68" s="1298"/>
      <c r="M68" s="1298"/>
      <c r="N68" s="1298"/>
      <c r="O68" s="2238"/>
      <c r="P68" s="2238"/>
      <c r="Q68" s="2238"/>
      <c r="R68" s="2238"/>
      <c r="S68" s="2238"/>
      <c r="T68" s="2238"/>
      <c r="U68" s="2238"/>
      <c r="V68" s="2238"/>
      <c r="W68" s="2238"/>
      <c r="X68" s="2238"/>
      <c r="Y68" s="2238"/>
      <c r="Z68" s="2238"/>
      <c r="AA68" s="2239"/>
      <c r="AB68" s="2239"/>
      <c r="AC68" s="2239"/>
      <c r="AD68" s="2239"/>
      <c r="AE68" s="2239"/>
      <c r="AF68" s="2239"/>
      <c r="AG68" s="2239"/>
      <c r="AH68" s="1445"/>
      <c r="AI68" s="1445"/>
      <c r="AJ68" s="1445"/>
      <c r="AK68" s="1445"/>
    </row>
    <row r="69" spans="1:37" s="1444" customFormat="1" ht="24">
      <c r="A69" s="1305" t="s">
        <v>1694</v>
      </c>
      <c r="B69" s="1316"/>
      <c r="C69" s="1307" t="s">
        <v>1696</v>
      </c>
      <c r="D69" s="1308" t="s">
        <v>1776</v>
      </c>
      <c r="E69" s="1309" t="s">
        <v>1778</v>
      </c>
      <c r="F69" s="1310" t="s">
        <v>2177</v>
      </c>
      <c r="G69" s="1308" t="s">
        <v>1774</v>
      </c>
      <c r="H69" s="2411" t="s">
        <v>2388</v>
      </c>
      <c r="I69" s="1308" t="s">
        <v>1777</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5"/>
      <c r="AI69" s="1445"/>
      <c r="AJ69" s="1445"/>
      <c r="AK69" s="1445"/>
    </row>
    <row r="70" spans="1:37" s="1444" customFormat="1" ht="48">
      <c r="A70" s="1305" t="s">
        <v>1708</v>
      </c>
      <c r="B70" s="1311" t="str">
        <f>估价对象房地状况!C15</f>
        <v>估价对象周边居住用地比例、居住小区规模和社区发展完善程度，综合评价居住社区成熟度一般</v>
      </c>
      <c r="C70" s="1292"/>
      <c r="D70" s="2412">
        <f t="shared" ref="D70:D78" si="20">SUMIF($J$69:$N$69,C70,J70:N70)</f>
        <v>0</v>
      </c>
      <c r="E70" s="1314">
        <f>ROUND(SUM(D70:D78),4)</f>
        <v>0</v>
      </c>
      <c r="F70" s="1315" t="str">
        <f>IF(E2="住宅",SUMIF(L1:L12,G2,N1:N12),"——")</f>
        <v>——</v>
      </c>
      <c r="G70" s="2413"/>
      <c r="H70" s="2433" t="str">
        <f t="shared" ref="H70:H78" si="21">IFERROR(ROUNDDOWN($F$70*I70/2,4),"——")</f>
        <v>——</v>
      </c>
      <c r="I70" s="1313">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5"/>
      <c r="AI70" s="1445"/>
      <c r="AJ70" s="1445"/>
      <c r="AK70" s="1445"/>
    </row>
    <row r="71" spans="1:37" s="1444" customFormat="1" ht="48">
      <c r="A71" s="1305" t="s">
        <v>1699</v>
      </c>
      <c r="B71" s="1316" t="str">
        <f>估价对象房地状况!C18</f>
        <v>估价对象周边道路状况、公共交通通达情况、停车便捷程度，综合评价交通便捷度较好</v>
      </c>
      <c r="C71" s="1292"/>
      <c r="D71" s="2412">
        <f t="shared" si="20"/>
        <v>0</v>
      </c>
      <c r="E71" s="1325"/>
      <c r="F71" s="2417"/>
      <c r="G71" s="2413"/>
      <c r="H71" s="2433" t="str">
        <f t="shared" si="21"/>
        <v>——</v>
      </c>
      <c r="I71" s="1313">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5"/>
      <c r="AI71" s="1445"/>
      <c r="AJ71" s="1445"/>
      <c r="AK71" s="1445"/>
    </row>
    <row r="72" spans="1:37" s="1444" customFormat="1" ht="24">
      <c r="A72" s="1305" t="s">
        <v>1700</v>
      </c>
      <c r="B72" s="1316">
        <f>估价对象房地状况!C19</f>
        <v>0</v>
      </c>
      <c r="C72" s="1292"/>
      <c r="D72" s="2412">
        <f t="shared" si="20"/>
        <v>0</v>
      </c>
      <c r="E72" s="1325"/>
      <c r="F72" s="2417"/>
      <c r="G72" s="2413"/>
      <c r="H72" s="2433" t="str">
        <f t="shared" si="21"/>
        <v>——</v>
      </c>
      <c r="I72" s="1313">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5"/>
      <c r="AI72" s="1445"/>
      <c r="AJ72" s="1445"/>
      <c r="AK72" s="1445"/>
    </row>
    <row r="73" spans="1:37" s="1444" customFormat="1" ht="14.25">
      <c r="A73" s="1305" t="s">
        <v>1709</v>
      </c>
      <c r="B73" s="1316">
        <f>估价对象房地状况!C24</f>
        <v>0</v>
      </c>
      <c r="C73" s="1292"/>
      <c r="D73" s="2412">
        <f t="shared" si="20"/>
        <v>0</v>
      </c>
      <c r="E73" s="1325"/>
      <c r="F73" s="2417"/>
      <c r="G73" s="2413"/>
      <c r="H73" s="2433" t="str">
        <f t="shared" si="21"/>
        <v>——</v>
      </c>
      <c r="I73" s="1313">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5"/>
      <c r="AI73" s="1445"/>
      <c r="AJ73" s="1445"/>
      <c r="AK73" s="1445"/>
    </row>
    <row r="74" spans="1:37" s="1444" customFormat="1" ht="24">
      <c r="A74" s="1305" t="s">
        <v>1704</v>
      </c>
      <c r="B74" s="2407" t="str">
        <f>估价对象房地状况!C21</f>
        <v>估价对象所在区域公共配套设施齐备情况</v>
      </c>
      <c r="C74" s="1292"/>
      <c r="D74" s="2412">
        <f t="shared" si="20"/>
        <v>0</v>
      </c>
      <c r="E74" s="1325"/>
      <c r="F74" s="2417"/>
      <c r="G74" s="2413"/>
      <c r="H74" s="2433" t="str">
        <f t="shared" si="21"/>
        <v>——</v>
      </c>
      <c r="I74" s="1313">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5"/>
      <c r="AI74" s="1445"/>
      <c r="AJ74" s="1445"/>
      <c r="AK74" s="1445"/>
    </row>
    <row r="75" spans="1:37" s="1444" customFormat="1" ht="24">
      <c r="A75" s="1305" t="s">
        <v>1705</v>
      </c>
      <c r="B75" s="2407" t="str">
        <f>估价对象房地状况!C22</f>
        <v>估价对象所在区域基础设施水平</v>
      </c>
      <c r="C75" s="1292"/>
      <c r="D75" s="2412">
        <f t="shared" si="20"/>
        <v>0</v>
      </c>
      <c r="E75" s="1325"/>
      <c r="F75" s="2417"/>
      <c r="G75" s="2413"/>
      <c r="H75" s="2433" t="str">
        <f t="shared" si="21"/>
        <v>——</v>
      </c>
      <c r="I75" s="1313">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5"/>
      <c r="AI75" s="1445"/>
      <c r="AJ75" s="1445"/>
      <c r="AK75" s="1445"/>
    </row>
    <row r="76" spans="1:37" ht="24">
      <c r="A76" s="1305" t="s">
        <v>1703</v>
      </c>
      <c r="B76" s="3058" t="s">
        <v>2886</v>
      </c>
      <c r="C76" s="1292"/>
      <c r="D76" s="2412">
        <f t="shared" si="20"/>
        <v>0</v>
      </c>
      <c r="E76" s="1325"/>
      <c r="F76" s="2417"/>
      <c r="G76" s="2413"/>
      <c r="H76" s="2433" t="str">
        <f t="shared" si="21"/>
        <v>——</v>
      </c>
      <c r="I76" s="1313">
        <v>0.05</v>
      </c>
      <c r="J76" s="2414">
        <f t="shared" si="22"/>
        <v>0</v>
      </c>
      <c r="K76" s="2414">
        <f t="shared" si="23"/>
        <v>0</v>
      </c>
      <c r="L76" s="2414">
        <v>0</v>
      </c>
      <c r="M76" s="2414">
        <f t="shared" si="24"/>
        <v>0</v>
      </c>
      <c r="N76" s="2414">
        <f t="shared" si="24"/>
        <v>0</v>
      </c>
      <c r="Z76" s="1447"/>
      <c r="AA76" s="1446"/>
      <c r="AG76" s="1445"/>
      <c r="AK76" s="1446"/>
    </row>
    <row r="77" spans="1:37" ht="36">
      <c r="A77" s="1305" t="s">
        <v>1706</v>
      </c>
      <c r="B77" s="1311" t="str">
        <f>估价对象房地状况!C20</f>
        <v>区域自然环境：；人文环境；综合评价环境状况一般</v>
      </c>
      <c r="C77" s="1292"/>
      <c r="D77" s="2412">
        <f t="shared" si="20"/>
        <v>0</v>
      </c>
      <c r="E77" s="1325"/>
      <c r="F77" s="2417"/>
      <c r="G77" s="2413"/>
      <c r="H77" s="2433" t="str">
        <f t="shared" si="21"/>
        <v>——</v>
      </c>
      <c r="I77" s="1313">
        <v>0.15</v>
      </c>
      <c r="J77" s="2414">
        <f t="shared" si="22"/>
        <v>0</v>
      </c>
      <c r="K77" s="2414">
        <f t="shared" si="23"/>
        <v>0</v>
      </c>
      <c r="L77" s="2414">
        <v>0</v>
      </c>
      <c r="M77" s="2414">
        <f t="shared" si="24"/>
        <v>0</v>
      </c>
      <c r="N77" s="2414">
        <f t="shared" si="24"/>
        <v>0</v>
      </c>
      <c r="Z77" s="1447"/>
      <c r="AA77" s="1446"/>
      <c r="AG77" s="1445"/>
      <c r="AK77" s="1446"/>
    </row>
    <row r="78" spans="1:37" ht="24.75" thickBot="1">
      <c r="A78" s="1320" t="s">
        <v>1710</v>
      </c>
      <c r="B78" s="2410"/>
      <c r="C78" s="1292"/>
      <c r="D78" s="2412">
        <f t="shared" si="20"/>
        <v>0</v>
      </c>
      <c r="E78" s="1326"/>
      <c r="F78" s="2417"/>
      <c r="G78" s="2413"/>
      <c r="H78" s="2433" t="str">
        <f t="shared" si="21"/>
        <v>——</v>
      </c>
      <c r="I78" s="1322">
        <v>0.04</v>
      </c>
      <c r="J78" s="2414">
        <f t="shared" si="22"/>
        <v>0</v>
      </c>
      <c r="K78" s="2414">
        <f t="shared" si="23"/>
        <v>0</v>
      </c>
      <c r="L78" s="2414">
        <v>0</v>
      </c>
      <c r="M78" s="2414">
        <f t="shared" si="24"/>
        <v>0</v>
      </c>
      <c r="N78" s="2414">
        <f t="shared" si="24"/>
        <v>0</v>
      </c>
      <c r="Z78" s="1447"/>
      <c r="AA78" s="1446"/>
      <c r="AG78" s="1445"/>
      <c r="AK78" s="1446"/>
    </row>
    <row r="79" spans="1:37" ht="15">
      <c r="A79" s="1299" t="s">
        <v>1120</v>
      </c>
      <c r="B79" s="2408">
        <f>1+E81</f>
        <v>1</v>
      </c>
      <c r="C79" s="2416"/>
      <c r="D79" s="1302"/>
      <c r="E79" s="1303"/>
      <c r="F79" s="2415"/>
      <c r="G79" s="189"/>
      <c r="H79" s="189"/>
      <c r="I79" s="189"/>
      <c r="J79" s="1298"/>
      <c r="K79" s="1298"/>
      <c r="L79" s="1298"/>
      <c r="M79" s="1298"/>
      <c r="N79" s="1298"/>
      <c r="Z79" s="1447"/>
      <c r="AA79" s="1446"/>
      <c r="AG79" s="1445"/>
      <c r="AK79" s="1446"/>
    </row>
    <row r="80" spans="1:37" ht="24">
      <c r="A80" s="1305" t="s">
        <v>1694</v>
      </c>
      <c r="B80" s="1316"/>
      <c r="C80" s="1307" t="s">
        <v>1696</v>
      </c>
      <c r="D80" s="1308" t="s">
        <v>1776</v>
      </c>
      <c r="E80" s="1309" t="s">
        <v>1778</v>
      </c>
      <c r="F80" s="1310" t="s">
        <v>2177</v>
      </c>
      <c r="G80" s="1308" t="s">
        <v>1774</v>
      </c>
      <c r="H80" s="2411" t="s">
        <v>2388</v>
      </c>
      <c r="I80" s="1308" t="s">
        <v>1777</v>
      </c>
      <c r="J80" s="805" t="s">
        <v>439</v>
      </c>
      <c r="K80" s="805" t="s">
        <v>440</v>
      </c>
      <c r="L80" s="805" t="s">
        <v>441</v>
      </c>
      <c r="M80" s="805" t="s">
        <v>442</v>
      </c>
      <c r="N80" s="805" t="s">
        <v>443</v>
      </c>
      <c r="Z80" s="1447"/>
      <c r="AA80" s="1446"/>
      <c r="AG80" s="1445"/>
      <c r="AK80" s="1446"/>
    </row>
    <row r="81" spans="1:37" ht="36">
      <c r="A81" s="1305" t="s">
        <v>1711</v>
      </c>
      <c r="B81" s="1316" t="str">
        <f>估价对象房地状况!G15</f>
        <v>估价对象位于XX开发区，园区建设成熟度XX，产业集聚程度XX</v>
      </c>
      <c r="C81" s="1292"/>
      <c r="D81" s="2412">
        <f t="shared" ref="D81:D88" si="25">SUMIF($J$80:$N$80,C81,J81:N81)</f>
        <v>0</v>
      </c>
      <c r="E81" s="1314">
        <f>ROUND(SUM(D81:D88),4)</f>
        <v>0</v>
      </c>
      <c r="F81" s="1315" t="str">
        <f>IF(E2="工业",SUMIF(L1:L12,G2,N1:N12),"——")</f>
        <v>——</v>
      </c>
      <c r="G81" s="2413"/>
      <c r="H81" s="2433" t="str">
        <f t="shared" ref="H81:H88" si="26">IFERROR(ROUNDDOWN($F$81*I81/2,4),"——")</f>
        <v>——</v>
      </c>
      <c r="I81" s="1313">
        <v>0.26</v>
      </c>
      <c r="J81" s="2414">
        <f t="shared" ref="J81:J88" si="27">K81+$G81</f>
        <v>0</v>
      </c>
      <c r="K81" s="2414">
        <f t="shared" ref="K81:K88" si="28">$L81+$G81</f>
        <v>0</v>
      </c>
      <c r="L81" s="2414">
        <v>0</v>
      </c>
      <c r="M81" s="2414">
        <f t="shared" ref="M81:N88" si="29">L81-$G81</f>
        <v>0</v>
      </c>
      <c r="N81" s="2414">
        <f t="shared" si="29"/>
        <v>0</v>
      </c>
      <c r="Z81" s="1447"/>
      <c r="AA81" s="1446"/>
      <c r="AG81" s="1445"/>
      <c r="AK81" s="1446"/>
    </row>
    <row r="82" spans="1:37" ht="48">
      <c r="A82" s="1305" t="s">
        <v>1699</v>
      </c>
      <c r="B82" s="1316" t="str">
        <f>估价对象房地状况!G16</f>
        <v>估价对象周边道路状况、公共交通通达情况、停车便捷程度，综合评价交通便捷度较好</v>
      </c>
      <c r="C82" s="1292"/>
      <c r="D82" s="2412">
        <f t="shared" si="25"/>
        <v>0</v>
      </c>
      <c r="E82" s="1325"/>
      <c r="F82" s="2417"/>
      <c r="G82" s="2413"/>
      <c r="H82" s="2433" t="str">
        <f t="shared" si="26"/>
        <v>——</v>
      </c>
      <c r="I82" s="1313">
        <v>0.33</v>
      </c>
      <c r="J82" s="2414">
        <f t="shared" si="27"/>
        <v>0</v>
      </c>
      <c r="K82" s="2414">
        <f t="shared" si="28"/>
        <v>0</v>
      </c>
      <c r="L82" s="2414">
        <v>0</v>
      </c>
      <c r="M82" s="2414">
        <f t="shared" si="29"/>
        <v>0</v>
      </c>
      <c r="N82" s="2414">
        <f t="shared" si="29"/>
        <v>0</v>
      </c>
      <c r="Z82" s="1447"/>
      <c r="AA82" s="1446"/>
      <c r="AG82" s="1445"/>
      <c r="AK82" s="1446"/>
    </row>
    <row r="83" spans="1:37" ht="24">
      <c r="A83" s="1305" t="s">
        <v>1700</v>
      </c>
      <c r="B83" s="1316">
        <f>估价对象房地状况!G17</f>
        <v>0</v>
      </c>
      <c r="C83" s="1292"/>
      <c r="D83" s="2412">
        <f t="shared" si="25"/>
        <v>0</v>
      </c>
      <c r="E83" s="1325"/>
      <c r="F83" s="2417"/>
      <c r="G83" s="2413"/>
      <c r="H83" s="2433" t="str">
        <f t="shared" si="26"/>
        <v>——</v>
      </c>
      <c r="I83" s="1313">
        <v>0.05</v>
      </c>
      <c r="J83" s="2414">
        <f t="shared" si="27"/>
        <v>0</v>
      </c>
      <c r="K83" s="2414">
        <f t="shared" si="28"/>
        <v>0</v>
      </c>
      <c r="L83" s="2414">
        <v>0</v>
      </c>
      <c r="M83" s="2414">
        <f t="shared" si="29"/>
        <v>0</v>
      </c>
      <c r="N83" s="2414">
        <f t="shared" si="29"/>
        <v>0</v>
      </c>
      <c r="Z83" s="1447"/>
      <c r="AA83" s="1446"/>
      <c r="AG83" s="1445"/>
      <c r="AK83" s="1446"/>
    </row>
    <row r="84" spans="1:37" ht="14.25">
      <c r="A84" s="1305" t="s">
        <v>1709</v>
      </c>
      <c r="B84" s="1316">
        <f>估价对象房地状况!G22</f>
        <v>0</v>
      </c>
      <c r="C84" s="1292"/>
      <c r="D84" s="2412">
        <f t="shared" si="25"/>
        <v>0</v>
      </c>
      <c r="E84" s="1325"/>
      <c r="F84" s="2417"/>
      <c r="G84" s="2413"/>
      <c r="H84" s="2433" t="str">
        <f t="shared" si="26"/>
        <v>——</v>
      </c>
      <c r="I84" s="1313">
        <v>0.04</v>
      </c>
      <c r="J84" s="2414">
        <f t="shared" si="27"/>
        <v>0</v>
      </c>
      <c r="K84" s="2414">
        <f t="shared" si="28"/>
        <v>0</v>
      </c>
      <c r="L84" s="2414">
        <v>0</v>
      </c>
      <c r="M84" s="2414">
        <f t="shared" si="29"/>
        <v>0</v>
      </c>
      <c r="N84" s="2414">
        <f t="shared" si="29"/>
        <v>0</v>
      </c>
      <c r="Z84" s="1447"/>
      <c r="AA84" s="1446"/>
      <c r="AG84" s="1445"/>
      <c r="AK84" s="1446"/>
    </row>
    <row r="85" spans="1:37" ht="24">
      <c r="A85" s="1305" t="s">
        <v>1704</v>
      </c>
      <c r="B85" s="2407" t="str">
        <f>估价对象房地状况!G19</f>
        <v>估价对象所在区域公共配套设施齐备情况</v>
      </c>
      <c r="C85" s="1292"/>
      <c r="D85" s="2412">
        <f t="shared" si="25"/>
        <v>0</v>
      </c>
      <c r="E85" s="1325"/>
      <c r="F85" s="2417"/>
      <c r="G85" s="2413"/>
      <c r="H85" s="2433" t="str">
        <f t="shared" si="26"/>
        <v>——</v>
      </c>
      <c r="I85" s="1313">
        <v>0.06</v>
      </c>
      <c r="J85" s="2414">
        <f t="shared" si="27"/>
        <v>0</v>
      </c>
      <c r="K85" s="2414">
        <f t="shared" si="28"/>
        <v>0</v>
      </c>
      <c r="L85" s="2414">
        <v>0</v>
      </c>
      <c r="M85" s="2414">
        <f t="shared" si="29"/>
        <v>0</v>
      </c>
      <c r="N85" s="2414">
        <f t="shared" si="29"/>
        <v>0</v>
      </c>
      <c r="Z85" s="1447"/>
      <c r="AA85" s="1446"/>
      <c r="AG85" s="1445"/>
      <c r="AK85" s="1446"/>
    </row>
    <row r="86" spans="1:37" ht="24">
      <c r="A86" s="1305" t="s">
        <v>1705</v>
      </c>
      <c r="B86" s="2407" t="str">
        <f>估价对象房地状况!G20</f>
        <v>估价对象所在区域基础设施水平</v>
      </c>
      <c r="C86" s="1292"/>
      <c r="D86" s="2412">
        <f t="shared" si="25"/>
        <v>0</v>
      </c>
      <c r="E86" s="1325"/>
      <c r="F86" s="2417"/>
      <c r="G86" s="2413"/>
      <c r="H86" s="2433" t="str">
        <f t="shared" si="26"/>
        <v>——</v>
      </c>
      <c r="I86" s="1313">
        <v>0.15</v>
      </c>
      <c r="J86" s="2414">
        <f t="shared" si="27"/>
        <v>0</v>
      </c>
      <c r="K86" s="2414">
        <f t="shared" si="28"/>
        <v>0</v>
      </c>
      <c r="L86" s="2414">
        <v>0</v>
      </c>
      <c r="M86" s="2414">
        <f t="shared" si="29"/>
        <v>0</v>
      </c>
      <c r="N86" s="2414">
        <f t="shared" si="29"/>
        <v>0</v>
      </c>
      <c r="Z86" s="1447"/>
      <c r="AA86" s="1446"/>
      <c r="AG86" s="1445"/>
      <c r="AK86" s="1446"/>
    </row>
    <row r="87" spans="1:37" ht="24">
      <c r="A87" s="1305" t="s">
        <v>1703</v>
      </c>
      <c r="B87" s="3058" t="s">
        <v>2886</v>
      </c>
      <c r="C87" s="1292"/>
      <c r="D87" s="2412">
        <f t="shared" si="25"/>
        <v>0</v>
      </c>
      <c r="E87" s="1325"/>
      <c r="F87" s="2417"/>
      <c r="G87" s="2413"/>
      <c r="H87" s="2433" t="str">
        <f t="shared" si="26"/>
        <v>——</v>
      </c>
      <c r="I87" s="1313">
        <v>0.05</v>
      </c>
      <c r="J87" s="2414">
        <f t="shared" si="27"/>
        <v>0</v>
      </c>
      <c r="K87" s="2414">
        <f t="shared" si="28"/>
        <v>0</v>
      </c>
      <c r="L87" s="2414">
        <v>0</v>
      </c>
      <c r="M87" s="2414">
        <f t="shared" si="29"/>
        <v>0</v>
      </c>
      <c r="N87" s="2414">
        <f t="shared" si="29"/>
        <v>0</v>
      </c>
      <c r="Z87" s="1447"/>
      <c r="AA87" s="1446"/>
      <c r="AG87" s="1445"/>
      <c r="AK87" s="1446"/>
    </row>
    <row r="88" spans="1:37" ht="36.75" thickBot="1">
      <c r="A88" s="1320" t="s">
        <v>1712</v>
      </c>
      <c r="B88" s="2409" t="str">
        <f>估价对象房地状况!G18</f>
        <v>该园区内是否有污染型企业，绿化情况，卫生条件，整体环境状况判断</v>
      </c>
      <c r="C88" s="2434"/>
      <c r="D88" s="2435">
        <f t="shared" si="25"/>
        <v>0</v>
      </c>
      <c r="E88" s="1326"/>
      <c r="F88" s="2417"/>
      <c r="G88" s="2413"/>
      <c r="H88" s="2433" t="str">
        <f t="shared" si="26"/>
        <v>——</v>
      </c>
      <c r="I88" s="1322">
        <v>0.06</v>
      </c>
      <c r="J88" s="2414">
        <f t="shared" si="27"/>
        <v>0</v>
      </c>
      <c r="K88" s="2414">
        <f t="shared" si="28"/>
        <v>0</v>
      </c>
      <c r="L88" s="2414">
        <v>0</v>
      </c>
      <c r="M88" s="2414">
        <f t="shared" si="29"/>
        <v>0</v>
      </c>
      <c r="N88" s="2414">
        <f t="shared" si="29"/>
        <v>0</v>
      </c>
      <c r="Z88" s="1447"/>
      <c r="AA88" s="1446"/>
      <c r="AG88" s="1445"/>
      <c r="AK88" s="1446"/>
    </row>
    <row r="90" spans="1:37">
      <c r="A90" s="3498" t="s">
        <v>2389</v>
      </c>
      <c r="B90" s="3498"/>
      <c r="C90" s="3498"/>
      <c r="D90" s="3498"/>
      <c r="E90" s="3498"/>
      <c r="F90" s="3498"/>
      <c r="G90" s="3498"/>
      <c r="H90" s="3498"/>
      <c r="I90" s="3498"/>
      <c r="J90" s="3498"/>
      <c r="K90" s="2420"/>
      <c r="L90" s="2420"/>
      <c r="M90" s="2420"/>
      <c r="N90" s="2420"/>
    </row>
    <row r="91" spans="1:37">
      <c r="A91" s="3500" t="s">
        <v>2390</v>
      </c>
      <c r="B91" s="3500" t="s">
        <v>2391</v>
      </c>
      <c r="C91" s="1406" t="s">
        <v>2392</v>
      </c>
      <c r="D91" s="1407"/>
      <c r="E91" s="1407"/>
      <c r="F91" s="1407"/>
      <c r="G91" s="1407"/>
      <c r="H91" s="1407"/>
      <c r="I91" s="1407"/>
      <c r="J91" s="1408"/>
      <c r="K91" s="1396"/>
      <c r="L91" s="1396"/>
      <c r="M91" s="1396"/>
      <c r="N91" s="1396"/>
    </row>
    <row r="92" spans="1:37">
      <c r="A92" s="3500"/>
      <c r="B92" s="3500"/>
      <c r="C92" s="2419" t="s">
        <v>2393</v>
      </c>
      <c r="D92" s="2419" t="s">
        <v>2394</v>
      </c>
      <c r="E92" s="2419" t="s">
        <v>2395</v>
      </c>
      <c r="F92" s="2419" t="s">
        <v>2396</v>
      </c>
      <c r="G92" s="2419" t="s">
        <v>2397</v>
      </c>
      <c r="H92" s="2419" t="s">
        <v>2398</v>
      </c>
      <c r="I92" s="2419" t="s">
        <v>2399</v>
      </c>
      <c r="J92" s="2419" t="s">
        <v>2400</v>
      </c>
      <c r="K92" s="2419" t="s">
        <v>2401</v>
      </c>
      <c r="L92" s="2419" t="s">
        <v>2402</v>
      </c>
      <c r="M92" s="2419" t="s">
        <v>2403</v>
      </c>
      <c r="N92" s="2419" t="s">
        <v>2404</v>
      </c>
    </row>
    <row r="93" spans="1:37">
      <c r="A93" s="3501" t="s">
        <v>2405</v>
      </c>
      <c r="B93" s="1409">
        <v>1</v>
      </c>
      <c r="C93" s="1410">
        <v>1.9361999999999999</v>
      </c>
      <c r="D93" s="1410">
        <v>1.9361999999999999</v>
      </c>
      <c r="E93" s="1410">
        <v>1.8629</v>
      </c>
      <c r="F93" s="1410">
        <v>1.8629</v>
      </c>
      <c r="G93" s="1410">
        <v>1.8629</v>
      </c>
      <c r="H93" s="1410">
        <v>1.8629</v>
      </c>
      <c r="I93" s="1410">
        <v>1.8629</v>
      </c>
      <c r="J93" s="1410">
        <v>1.9419999999999999</v>
      </c>
      <c r="K93" s="1410">
        <v>1.9419999999999999</v>
      </c>
      <c r="L93" s="1410">
        <v>1.9419999999999999</v>
      </c>
      <c r="M93" s="1410">
        <v>1.9419999999999999</v>
      </c>
      <c r="N93" s="1410">
        <v>1.9419999999999999</v>
      </c>
    </row>
    <row r="94" spans="1:37">
      <c r="A94" s="3502"/>
      <c r="B94" s="1409">
        <v>2</v>
      </c>
      <c r="C94" s="1410">
        <v>1.4198</v>
      </c>
      <c r="D94" s="1410">
        <v>1.4198</v>
      </c>
      <c r="E94" s="1410">
        <v>1.3371999999999999</v>
      </c>
      <c r="F94" s="1410">
        <v>1.3371999999999999</v>
      </c>
      <c r="G94" s="1410">
        <v>1.3371999999999999</v>
      </c>
      <c r="H94" s="1410">
        <v>1.3371999999999999</v>
      </c>
      <c r="I94" s="1410">
        <v>1.3371999999999999</v>
      </c>
      <c r="J94" s="1410">
        <v>1.2799</v>
      </c>
      <c r="K94" s="1410">
        <v>1.2799</v>
      </c>
      <c r="L94" s="1410">
        <v>1.2799</v>
      </c>
      <c r="M94" s="1410">
        <v>1.2799</v>
      </c>
      <c r="N94" s="1410">
        <v>1.2799</v>
      </c>
    </row>
    <row r="95" spans="1:37">
      <c r="A95" s="3502"/>
      <c r="B95" s="1409">
        <v>3</v>
      </c>
      <c r="C95" s="1410">
        <v>1.1594</v>
      </c>
      <c r="D95" s="1410">
        <v>1.1594</v>
      </c>
      <c r="E95" s="1410">
        <v>1.0788</v>
      </c>
      <c r="F95" s="1410">
        <v>1.0788</v>
      </c>
      <c r="G95" s="1410">
        <v>1.0788</v>
      </c>
      <c r="H95" s="1410">
        <v>1.0788</v>
      </c>
      <c r="I95" s="1410">
        <v>1.0788</v>
      </c>
      <c r="J95" s="1410">
        <v>1.0072000000000001</v>
      </c>
      <c r="K95" s="1410">
        <v>1.0072000000000001</v>
      </c>
      <c r="L95" s="1410">
        <v>1.0072000000000001</v>
      </c>
      <c r="M95" s="1410">
        <v>1.0072000000000001</v>
      </c>
      <c r="N95" s="1410">
        <v>1.0072000000000001</v>
      </c>
    </row>
    <row r="96" spans="1:37">
      <c r="A96" s="3502"/>
      <c r="B96" s="1409">
        <v>4</v>
      </c>
      <c r="C96" s="1410">
        <v>0.96220000000000006</v>
      </c>
      <c r="D96" s="1410">
        <v>0.96220000000000006</v>
      </c>
      <c r="E96" s="1410">
        <v>0.86560000000000004</v>
      </c>
      <c r="F96" s="1410">
        <v>0.86560000000000004</v>
      </c>
      <c r="G96" s="1410">
        <v>0.86560000000000004</v>
      </c>
      <c r="H96" s="1410">
        <v>0.86560000000000004</v>
      </c>
      <c r="I96" s="1410">
        <v>0.86560000000000004</v>
      </c>
      <c r="J96" s="1410">
        <v>0.75249999999999995</v>
      </c>
      <c r="K96" s="1410">
        <v>0.75249999999999995</v>
      </c>
      <c r="L96" s="1410">
        <v>0.75249999999999995</v>
      </c>
      <c r="M96" s="1410">
        <v>0.75249999999999995</v>
      </c>
      <c r="N96" s="1410">
        <v>0.75249999999999995</v>
      </c>
    </row>
    <row r="97" spans="1:14">
      <c r="A97" s="3502"/>
      <c r="B97" s="1409">
        <v>5</v>
      </c>
      <c r="C97" s="1410">
        <v>0.8417</v>
      </c>
      <c r="D97" s="1410">
        <v>0.8417</v>
      </c>
      <c r="E97" s="1410">
        <v>0.73709999999999998</v>
      </c>
      <c r="F97" s="1410">
        <v>0.73709999999999998</v>
      </c>
      <c r="G97" s="1410">
        <v>0.73709999999999998</v>
      </c>
      <c r="H97" s="1410">
        <v>0.73709999999999998</v>
      </c>
      <c r="I97" s="1410">
        <v>0.73709999999999998</v>
      </c>
      <c r="J97" s="1410">
        <v>0.56589999999999996</v>
      </c>
      <c r="K97" s="1410">
        <v>0.56589999999999996</v>
      </c>
      <c r="L97" s="1410">
        <v>0.56589999999999996</v>
      </c>
      <c r="M97" s="1410">
        <v>0.56589999999999996</v>
      </c>
      <c r="N97" s="1410">
        <v>0.56589999999999996</v>
      </c>
    </row>
    <row r="98" spans="1:14">
      <c r="A98" s="3502"/>
      <c r="B98" s="1409">
        <v>6</v>
      </c>
      <c r="C98" s="1410">
        <v>0.76080000000000003</v>
      </c>
      <c r="D98" s="1410">
        <v>0.76080000000000003</v>
      </c>
      <c r="E98" s="1410">
        <v>0.6482</v>
      </c>
      <c r="F98" s="1410">
        <v>0.6482</v>
      </c>
      <c r="G98" s="1410">
        <v>0.6482</v>
      </c>
      <c r="H98" s="1410">
        <v>0.6482</v>
      </c>
      <c r="I98" s="1410">
        <v>0.6482</v>
      </c>
      <c r="J98" s="1410">
        <v>0.45250000000000001</v>
      </c>
      <c r="K98" s="1410">
        <v>0.45250000000000001</v>
      </c>
      <c r="L98" s="1410">
        <v>0.45250000000000001</v>
      </c>
      <c r="M98" s="1410">
        <v>0.45250000000000001</v>
      </c>
      <c r="N98" s="1410">
        <v>0.45250000000000001</v>
      </c>
    </row>
    <row r="99" spans="1:14">
      <c r="A99" s="3502"/>
      <c r="B99" s="1409" t="s">
        <v>2406</v>
      </c>
      <c r="C99" s="1411">
        <f>$I$3</f>
        <v>7</v>
      </c>
      <c r="D99" s="1411">
        <f t="shared" ref="D99:M99" si="30">$I$3</f>
        <v>7</v>
      </c>
      <c r="E99" s="1411">
        <f t="shared" si="30"/>
        <v>7</v>
      </c>
      <c r="F99" s="1411">
        <f t="shared" si="30"/>
        <v>7</v>
      </c>
      <c r="G99" s="1411">
        <f t="shared" si="30"/>
        <v>7</v>
      </c>
      <c r="H99" s="1411">
        <f t="shared" si="30"/>
        <v>7</v>
      </c>
      <c r="I99" s="1411">
        <f t="shared" si="30"/>
        <v>7</v>
      </c>
      <c r="J99" s="1411">
        <f t="shared" si="30"/>
        <v>7</v>
      </c>
      <c r="K99" s="1411">
        <f t="shared" si="30"/>
        <v>7</v>
      </c>
      <c r="L99" s="1411">
        <f t="shared" si="30"/>
        <v>7</v>
      </c>
      <c r="M99" s="1411">
        <f t="shared" si="30"/>
        <v>7</v>
      </c>
      <c r="N99" s="1411">
        <f>$I$3</f>
        <v>7</v>
      </c>
    </row>
    <row r="100" spans="1:14">
      <c r="A100" s="3503"/>
      <c r="B100" s="1409">
        <v>7</v>
      </c>
      <c r="C100" s="1412">
        <f>(-0.163*(C99^2)-0.59*C99+7617)*(10^(-4))</f>
        <v>0.76048830000000001</v>
      </c>
      <c r="D100" s="1412">
        <f>(-0.163*(D99^2)-0.59*D99+7617)*(10^(-4))</f>
        <v>0.76048830000000001</v>
      </c>
      <c r="E100" s="1412">
        <f>(-0.161*(E99^2)-7.509*E99+6533)*(10^(-4))</f>
        <v>0.64725480000000002</v>
      </c>
      <c r="F100" s="1412">
        <f>(-0.161*(F99^2)-7.509*F99+6533)*(10^(-4))</f>
        <v>0.64725480000000002</v>
      </c>
      <c r="G100" s="1412">
        <f>(-0.161*(G99^2)-7.509*G99+6533)*(10^(-4))</f>
        <v>0.64725480000000002</v>
      </c>
      <c r="H100" s="1412">
        <f>(-0.161*(H99^2)-7.509*H99+6533)*(10^(-4))</f>
        <v>0.64725480000000002</v>
      </c>
      <c r="I100" s="1412">
        <f>(-0.161*(I99^2)-7.509*I99+6533)*(10^(-4))</f>
        <v>0.64725480000000002</v>
      </c>
      <c r="J100" s="1412">
        <f>(-0.214*(J99^2)-21.991*J99+4665)*(10^(-4))</f>
        <v>0.45005770000000006</v>
      </c>
      <c r="K100" s="1412">
        <f>(-0.214*(K99^2)-21.991*K99+4665)*(10^(-4))</f>
        <v>0.45005770000000006</v>
      </c>
      <c r="L100" s="1412">
        <f>(-0.214*(L99^2)-21.991*L99+4665)*(10^(-4))</f>
        <v>0.45005770000000006</v>
      </c>
      <c r="M100" s="1412">
        <f>(-0.214*(M99^2)-21.991*M99+4665)*(10^(-4))</f>
        <v>0.45005770000000006</v>
      </c>
      <c r="N100" s="1412">
        <f>(-0.214*(N99^2)-21.991*N99+4665)*(10^(-4))</f>
        <v>0.45005770000000006</v>
      </c>
    </row>
    <row r="101" spans="1:14">
      <c r="A101" s="3501" t="s">
        <v>2407</v>
      </c>
      <c r="B101" s="1413" t="s">
        <v>2408</v>
      </c>
      <c r="C101" s="1414">
        <f>$G$3</f>
        <v>0</v>
      </c>
      <c r="D101" s="1414">
        <f t="shared" ref="D101:N101" si="31">$G$3</f>
        <v>0</v>
      </c>
      <c r="E101" s="1414">
        <f t="shared" si="31"/>
        <v>0</v>
      </c>
      <c r="F101" s="1414">
        <f t="shared" si="31"/>
        <v>0</v>
      </c>
      <c r="G101" s="1414">
        <f t="shared" si="31"/>
        <v>0</v>
      </c>
      <c r="H101" s="1414">
        <f t="shared" si="31"/>
        <v>0</v>
      </c>
      <c r="I101" s="1414">
        <f t="shared" si="31"/>
        <v>0</v>
      </c>
      <c r="J101" s="1414">
        <f t="shared" si="31"/>
        <v>0</v>
      </c>
      <c r="K101" s="1414">
        <f t="shared" si="31"/>
        <v>0</v>
      </c>
      <c r="L101" s="1414">
        <f t="shared" si="31"/>
        <v>0</v>
      </c>
      <c r="M101" s="1414">
        <f t="shared" si="31"/>
        <v>0</v>
      </c>
      <c r="N101" s="1414">
        <f t="shared" si="31"/>
        <v>0</v>
      </c>
    </row>
    <row r="102" spans="1:14">
      <c r="A102" s="3502"/>
      <c r="B102" s="1409">
        <v>1</v>
      </c>
      <c r="C102" s="1410" t="e">
        <f>1.9362/C101</f>
        <v>#DIV/0!</v>
      </c>
      <c r="D102" s="1410" t="e">
        <f>1.9362/D101</f>
        <v>#DIV/0!</v>
      </c>
      <c r="E102" s="1410" t="e">
        <f>1.8629/E101</f>
        <v>#DIV/0!</v>
      </c>
      <c r="F102" s="1410" t="e">
        <f>1.8629/F101</f>
        <v>#DIV/0!</v>
      </c>
      <c r="G102" s="1410" t="e">
        <f>1.8629/G101</f>
        <v>#DIV/0!</v>
      </c>
      <c r="H102" s="1410" t="e">
        <f>1.8629/H101</f>
        <v>#DIV/0!</v>
      </c>
      <c r="I102" s="1410" t="e">
        <f>1.8629/I101</f>
        <v>#DIV/0!</v>
      </c>
      <c r="J102" s="1410" t="e">
        <f>1.942/J101</f>
        <v>#DIV/0!</v>
      </c>
      <c r="K102" s="1410" t="e">
        <f>1.942/K101</f>
        <v>#DIV/0!</v>
      </c>
      <c r="L102" s="1410" t="e">
        <f>1.942/L101</f>
        <v>#DIV/0!</v>
      </c>
      <c r="M102" s="1410" t="e">
        <f>1.942/M101</f>
        <v>#DIV/0!</v>
      </c>
      <c r="N102" s="1410" t="e">
        <f>1.942/N101</f>
        <v>#DIV/0!</v>
      </c>
    </row>
    <row r="103" spans="1:14">
      <c r="A103" s="3502"/>
      <c r="B103" s="1409">
        <v>2</v>
      </c>
      <c r="C103" s="1410" t="e">
        <f>1.4198/C101</f>
        <v>#DIV/0!</v>
      </c>
      <c r="D103" s="1410" t="e">
        <f>1.4198/D101</f>
        <v>#DIV/0!</v>
      </c>
      <c r="E103" s="1410" t="e">
        <f>1.3372/E101</f>
        <v>#DIV/0!</v>
      </c>
      <c r="F103" s="1410" t="e">
        <f>1.3372/F101</f>
        <v>#DIV/0!</v>
      </c>
      <c r="G103" s="1410" t="e">
        <f>1.3372/G101</f>
        <v>#DIV/0!</v>
      </c>
      <c r="H103" s="1410" t="e">
        <f>1.3372/H101</f>
        <v>#DIV/0!</v>
      </c>
      <c r="I103" s="1410" t="e">
        <f>1.3372/I101</f>
        <v>#DIV/0!</v>
      </c>
      <c r="J103" s="1410" t="e">
        <f>1.2799/J101</f>
        <v>#DIV/0!</v>
      </c>
      <c r="K103" s="1410" t="e">
        <f>1.2799/K101</f>
        <v>#DIV/0!</v>
      </c>
      <c r="L103" s="1410" t="e">
        <f>1.2799/L101</f>
        <v>#DIV/0!</v>
      </c>
      <c r="M103" s="1410" t="e">
        <f>1.2799/M101</f>
        <v>#DIV/0!</v>
      </c>
      <c r="N103" s="1410" t="e">
        <f>1.2799/N101</f>
        <v>#DIV/0!</v>
      </c>
    </row>
    <row r="104" spans="1:14">
      <c r="A104" s="3502"/>
      <c r="B104" s="1409">
        <v>3</v>
      </c>
      <c r="C104" s="1410" t="e">
        <f>1.1594/C101</f>
        <v>#DIV/0!</v>
      </c>
      <c r="D104" s="1410" t="e">
        <f>1.1594/D101</f>
        <v>#DIV/0!</v>
      </c>
      <c r="E104" s="1410" t="e">
        <f>1.0788/E101</f>
        <v>#DIV/0!</v>
      </c>
      <c r="F104" s="1410" t="e">
        <f>1.0788/F101</f>
        <v>#DIV/0!</v>
      </c>
      <c r="G104" s="1410" t="e">
        <f>1.0788/G101</f>
        <v>#DIV/0!</v>
      </c>
      <c r="H104" s="1410" t="e">
        <f>1.0788/H101</f>
        <v>#DIV/0!</v>
      </c>
      <c r="I104" s="1410" t="e">
        <f>1.0788/I101</f>
        <v>#DIV/0!</v>
      </c>
      <c r="J104" s="1410" t="e">
        <f>1.0072/J101</f>
        <v>#DIV/0!</v>
      </c>
      <c r="K104" s="1410" t="e">
        <f>1.0072/K101</f>
        <v>#DIV/0!</v>
      </c>
      <c r="L104" s="1410" t="e">
        <f>1.0072/L101</f>
        <v>#DIV/0!</v>
      </c>
      <c r="M104" s="1410" t="e">
        <f>1.0072/M101</f>
        <v>#DIV/0!</v>
      </c>
      <c r="N104" s="1410" t="e">
        <f>1.0072/N101</f>
        <v>#DIV/0!</v>
      </c>
    </row>
    <row r="105" spans="1:14">
      <c r="A105" s="3502"/>
      <c r="B105" s="1409">
        <v>4</v>
      </c>
      <c r="C105" s="1410" t="e">
        <f>0.9622/C101</f>
        <v>#DIV/0!</v>
      </c>
      <c r="D105" s="1410" t="e">
        <f>0.9622/D101</f>
        <v>#DIV/0!</v>
      </c>
      <c r="E105" s="1410" t="e">
        <f>0.8656/E101</f>
        <v>#DIV/0!</v>
      </c>
      <c r="F105" s="1410" t="e">
        <f>0.8656/F101</f>
        <v>#DIV/0!</v>
      </c>
      <c r="G105" s="1410" t="e">
        <f>0.8656/G101</f>
        <v>#DIV/0!</v>
      </c>
      <c r="H105" s="1410" t="e">
        <f>0.8656/H101</f>
        <v>#DIV/0!</v>
      </c>
      <c r="I105" s="1410" t="e">
        <f>0.8656/I101</f>
        <v>#DIV/0!</v>
      </c>
      <c r="J105" s="1410" t="e">
        <f>0.7525/J101</f>
        <v>#DIV/0!</v>
      </c>
      <c r="K105" s="1410" t="e">
        <f>0.7525/K101</f>
        <v>#DIV/0!</v>
      </c>
      <c r="L105" s="1410" t="e">
        <f>0.7525/L101</f>
        <v>#DIV/0!</v>
      </c>
      <c r="M105" s="1410" t="e">
        <f>0.7525/M101</f>
        <v>#DIV/0!</v>
      </c>
      <c r="N105" s="1410" t="e">
        <f>0.7525/N101</f>
        <v>#DIV/0!</v>
      </c>
    </row>
    <row r="106" spans="1:14">
      <c r="A106" s="3502"/>
      <c r="B106" s="1409">
        <v>5</v>
      </c>
      <c r="C106" s="1410" t="e">
        <f>0.8417/C101</f>
        <v>#DIV/0!</v>
      </c>
      <c r="D106" s="1410" t="e">
        <f>0.8417/D101</f>
        <v>#DIV/0!</v>
      </c>
      <c r="E106" s="1410" t="e">
        <f>0.7371/E101</f>
        <v>#DIV/0!</v>
      </c>
      <c r="F106" s="1410" t="e">
        <f>0.7371/F101</f>
        <v>#DIV/0!</v>
      </c>
      <c r="G106" s="1410" t="e">
        <f>0.7371/G101</f>
        <v>#DIV/0!</v>
      </c>
      <c r="H106" s="1410" t="e">
        <f>0.7371/H101</f>
        <v>#DIV/0!</v>
      </c>
      <c r="I106" s="1410" t="e">
        <f>0.7371/I101</f>
        <v>#DIV/0!</v>
      </c>
      <c r="J106" s="1410" t="e">
        <f>0.5659/J101</f>
        <v>#DIV/0!</v>
      </c>
      <c r="K106" s="1410" t="e">
        <f>0.5659/K101</f>
        <v>#DIV/0!</v>
      </c>
      <c r="L106" s="1410" t="e">
        <f>0.5659/L101</f>
        <v>#DIV/0!</v>
      </c>
      <c r="M106" s="1410" t="e">
        <f>0.5659/M101</f>
        <v>#DIV/0!</v>
      </c>
      <c r="N106" s="1410" t="e">
        <f>0.5659/N101</f>
        <v>#DIV/0!</v>
      </c>
    </row>
    <row r="107" spans="1:14">
      <c r="A107" s="3502"/>
      <c r="B107" s="1409">
        <v>6</v>
      </c>
      <c r="C107" s="1410" t="e">
        <f>0.7608/C101</f>
        <v>#DIV/0!</v>
      </c>
      <c r="D107" s="1410" t="e">
        <f>0.7608/D101</f>
        <v>#DIV/0!</v>
      </c>
      <c r="E107" s="1410" t="e">
        <f>0.6482/E101</f>
        <v>#DIV/0!</v>
      </c>
      <c r="F107" s="1410" t="e">
        <f>0.6482/F101</f>
        <v>#DIV/0!</v>
      </c>
      <c r="G107" s="1410" t="e">
        <f>0.6482/G101</f>
        <v>#DIV/0!</v>
      </c>
      <c r="H107" s="1410" t="e">
        <f>0.6482/H101</f>
        <v>#DIV/0!</v>
      </c>
      <c r="I107" s="1410" t="e">
        <f>0.6482/I101</f>
        <v>#DIV/0!</v>
      </c>
      <c r="J107" s="1410" t="e">
        <f>0.4525/J101</f>
        <v>#DIV/0!</v>
      </c>
      <c r="K107" s="1410" t="e">
        <f>0.4525/K101</f>
        <v>#DIV/0!</v>
      </c>
      <c r="L107" s="1410" t="e">
        <f>0.4525/L101</f>
        <v>#DIV/0!</v>
      </c>
      <c r="M107" s="1410" t="e">
        <f>0.4525/M101</f>
        <v>#DIV/0!</v>
      </c>
      <c r="N107" s="1410" t="e">
        <f>0.4525/N101</f>
        <v>#DIV/0!</v>
      </c>
    </row>
    <row r="108" spans="1:14">
      <c r="A108" s="3502"/>
      <c r="B108" s="3504" t="s">
        <v>2409</v>
      </c>
      <c r="C108" s="1411">
        <f>C99</f>
        <v>7</v>
      </c>
      <c r="D108" s="1411">
        <f t="shared" ref="D108:N108" si="32">D99</f>
        <v>7</v>
      </c>
      <c r="E108" s="1411">
        <f t="shared" si="32"/>
        <v>7</v>
      </c>
      <c r="F108" s="1411">
        <f t="shared" si="32"/>
        <v>7</v>
      </c>
      <c r="G108" s="1411">
        <f t="shared" si="32"/>
        <v>7</v>
      </c>
      <c r="H108" s="1411">
        <f t="shared" si="32"/>
        <v>7</v>
      </c>
      <c r="I108" s="1411">
        <f t="shared" si="32"/>
        <v>7</v>
      </c>
      <c r="J108" s="1411">
        <f t="shared" si="32"/>
        <v>7</v>
      </c>
      <c r="K108" s="1411">
        <f t="shared" si="32"/>
        <v>7</v>
      </c>
      <c r="L108" s="1411">
        <f t="shared" si="32"/>
        <v>7</v>
      </c>
      <c r="M108" s="1411">
        <f t="shared" si="32"/>
        <v>7</v>
      </c>
      <c r="N108" s="1411">
        <f t="shared" si="32"/>
        <v>7</v>
      </c>
    </row>
    <row r="109" spans="1:14">
      <c r="A109" s="3503"/>
      <c r="B109" s="3505"/>
      <c r="C109" s="1412" t="e">
        <f>(-0.163*(C108^2)-0.59*C108+7617)*(10^(-4))/C101</f>
        <v>#DIV/0!</v>
      </c>
      <c r="D109" s="1412" t="e">
        <f>(-0.163*(D108^2)-0.59*D108+7617)*(10^(-4))/D101</f>
        <v>#DIV/0!</v>
      </c>
      <c r="E109" s="1412" t="e">
        <f>(-0.161*(E108^2)-7.509*E108+6533)*(10^(-4))/E101</f>
        <v>#DIV/0!</v>
      </c>
      <c r="F109" s="1412" t="e">
        <f>(-0.161*(F108^2)-7.509*F108+6533)*(10^(-4))/F101</f>
        <v>#DIV/0!</v>
      </c>
      <c r="G109" s="1412" t="e">
        <f>(-0.161*(G108^2)-7.509*G108+6533)*(10^(-4))/G101</f>
        <v>#DIV/0!</v>
      </c>
      <c r="H109" s="1412" t="e">
        <f>(-0.161*(H108^2)-7.509*H108+6533)*(10^(-4))/H101</f>
        <v>#DIV/0!</v>
      </c>
      <c r="I109" s="1412" t="e">
        <f>(-0.161*(I108^2)-7.509*I108+6533)*(10^(-4))/I101</f>
        <v>#DIV/0!</v>
      </c>
      <c r="J109" s="1412" t="e">
        <f>(-0.214*(J108^2)-21.991*J108+4665)*(10^(-4))/J101</f>
        <v>#DIV/0!</v>
      </c>
      <c r="K109" s="1412" t="e">
        <f>(-0.214*(K108^2)-21.991*K108+4665)*(10^(-4))/K101</f>
        <v>#DIV/0!</v>
      </c>
      <c r="L109" s="1412" t="e">
        <f>(-0.214*(L108^2)-21.991*L108+4665)*(10^(-4))/L101</f>
        <v>#DIV/0!</v>
      </c>
      <c r="M109" s="1412" t="e">
        <f>(-0.214*(M108^2)-21.991*M108+4665)*(10^(-4))/M101</f>
        <v>#DIV/0!</v>
      </c>
      <c r="N109" s="1412" t="e">
        <f>(-0.214*(N108^2)-21.991*N108+4665)*(10^(-4))/N101</f>
        <v>#DIV/0!</v>
      </c>
    </row>
    <row r="110" spans="1:14">
      <c r="A110" s="3499" t="s">
        <v>2410</v>
      </c>
      <c r="B110" s="3499"/>
      <c r="C110" s="3499"/>
      <c r="D110" s="3499"/>
      <c r="E110" s="3499"/>
      <c r="F110" s="3499"/>
      <c r="G110" s="3499"/>
      <c r="H110" s="3499"/>
      <c r="I110" s="3499"/>
      <c r="J110" s="3499"/>
      <c r="K110" s="2418"/>
      <c r="L110" s="2418"/>
      <c r="M110" s="2418"/>
      <c r="N110" s="2418"/>
    </row>
    <row r="112" spans="1:14" ht="12.75" thickBot="1"/>
    <row r="113" spans="1:13" ht="25.5" thickBot="1">
      <c r="A113" s="1422" t="s">
        <v>2411</v>
      </c>
      <c r="B113" s="2421">
        <f>G3</f>
        <v>0</v>
      </c>
      <c r="C113" s="1423" t="s">
        <v>2412</v>
      </c>
      <c r="D113" s="1424">
        <f>SUMPRODUCT((A115:A118=F113)*(B114:M114=H113)*B115:M118)</f>
        <v>0</v>
      </c>
      <c r="E113" s="1425" t="s">
        <v>2390</v>
      </c>
      <c r="F113" s="1426">
        <f>E2</f>
        <v>0</v>
      </c>
      <c r="G113" s="1425" t="s">
        <v>2413</v>
      </c>
      <c r="H113" s="1426" t="str">
        <f>G2</f>
        <v>二级</v>
      </c>
      <c r="I113" s="1425"/>
      <c r="J113" s="1417"/>
      <c r="K113" s="1417"/>
      <c r="L113" s="1417"/>
      <c r="M113" s="1417"/>
    </row>
    <row r="114" spans="1:13" ht="12.75">
      <c r="A114" s="1429"/>
      <c r="B114" s="1430" t="s">
        <v>2393</v>
      </c>
      <c r="C114" s="1430" t="s">
        <v>2394</v>
      </c>
      <c r="D114" s="1430" t="s">
        <v>2395</v>
      </c>
      <c r="E114" s="1431" t="s">
        <v>2396</v>
      </c>
      <c r="F114" s="1431" t="s">
        <v>2397</v>
      </c>
      <c r="G114" s="1431" t="s">
        <v>2398</v>
      </c>
      <c r="H114" s="1432" t="s">
        <v>2399</v>
      </c>
      <c r="I114" s="1432" t="s">
        <v>2400</v>
      </c>
      <c r="J114" s="1433" t="s">
        <v>2401</v>
      </c>
      <c r="K114" s="1433" t="s">
        <v>2402</v>
      </c>
      <c r="L114" s="1433" t="s">
        <v>2403</v>
      </c>
      <c r="M114" s="1434" t="s">
        <v>2404</v>
      </c>
    </row>
    <row r="115" spans="1:13" ht="12.75">
      <c r="A115" s="1435" t="s">
        <v>2414</v>
      </c>
      <c r="B115" s="1436">
        <f>ROUND(0.9335-0.0094*B113,4)</f>
        <v>0.9335</v>
      </c>
      <c r="C115" s="1436">
        <f>B115</f>
        <v>0.9335</v>
      </c>
      <c r="D115" s="1436">
        <f>ROUND(0.8331-0.0109*B113,4)</f>
        <v>0.83309999999999995</v>
      </c>
      <c r="E115" s="1436">
        <f>D115</f>
        <v>0.83309999999999995</v>
      </c>
      <c r="F115" s="1436">
        <f>E115</f>
        <v>0.83309999999999995</v>
      </c>
      <c r="G115" s="1436">
        <f>F115</f>
        <v>0.83309999999999995</v>
      </c>
      <c r="H115" s="1436">
        <f>G115</f>
        <v>0.83309999999999995</v>
      </c>
      <c r="I115" s="1436">
        <f>ROUND(0.689-0.0155*B113,4)</f>
        <v>0.68899999999999995</v>
      </c>
      <c r="J115" s="1436">
        <f t="shared" ref="J115:M118" si="33">I115</f>
        <v>0.68899999999999995</v>
      </c>
      <c r="K115" s="1436">
        <f t="shared" si="33"/>
        <v>0.68899999999999995</v>
      </c>
      <c r="L115" s="1436">
        <f t="shared" si="33"/>
        <v>0.68899999999999995</v>
      </c>
      <c r="M115" s="1437">
        <f t="shared" si="33"/>
        <v>0.68899999999999995</v>
      </c>
    </row>
    <row r="116" spans="1:13" ht="12.75">
      <c r="A116" s="1435" t="s">
        <v>2415</v>
      </c>
      <c r="B116" s="1436">
        <f>ROUND(0.949-0.012*B113,4)</f>
        <v>0.94899999999999995</v>
      </c>
      <c r="C116" s="1436">
        <f>B116</f>
        <v>0.94899999999999995</v>
      </c>
      <c r="D116" s="1436">
        <f>ROUND(0.8567-0.013*B113,4)</f>
        <v>0.85670000000000002</v>
      </c>
      <c r="E116" s="1436">
        <f t="shared" ref="E116:H117" si="34">D116</f>
        <v>0.85670000000000002</v>
      </c>
      <c r="F116" s="1436">
        <f t="shared" si="34"/>
        <v>0.85670000000000002</v>
      </c>
      <c r="G116" s="1436">
        <f t="shared" si="34"/>
        <v>0.85670000000000002</v>
      </c>
      <c r="H116" s="1436">
        <f t="shared" si="34"/>
        <v>0.85670000000000002</v>
      </c>
      <c r="I116" s="1436">
        <f>ROUND(0.7694-0.014*B113,4)</f>
        <v>0.76939999999999997</v>
      </c>
      <c r="J116" s="1436">
        <f t="shared" si="33"/>
        <v>0.76939999999999997</v>
      </c>
      <c r="K116" s="1436">
        <f t="shared" si="33"/>
        <v>0.76939999999999997</v>
      </c>
      <c r="L116" s="1436">
        <f t="shared" si="33"/>
        <v>0.76939999999999997</v>
      </c>
      <c r="M116" s="1437">
        <f t="shared" si="33"/>
        <v>0.76939999999999997</v>
      </c>
    </row>
    <row r="117" spans="1:13" ht="12.75">
      <c r="A117" s="1438" t="s">
        <v>2416</v>
      </c>
      <c r="B117" s="1436">
        <f>ROUND(0.8808-0.006*B113,4)</f>
        <v>0.88080000000000003</v>
      </c>
      <c r="C117" s="1436">
        <f>B117</f>
        <v>0.88080000000000003</v>
      </c>
      <c r="D117" s="1436">
        <f>ROUND(0.8748-0.008*B113,4)</f>
        <v>0.87480000000000002</v>
      </c>
      <c r="E117" s="1436">
        <f t="shared" si="34"/>
        <v>0.87480000000000002</v>
      </c>
      <c r="F117" s="1436">
        <f t="shared" si="34"/>
        <v>0.87480000000000002</v>
      </c>
      <c r="G117" s="1436">
        <f t="shared" si="34"/>
        <v>0.87480000000000002</v>
      </c>
      <c r="H117" s="1436">
        <f t="shared" si="34"/>
        <v>0.87480000000000002</v>
      </c>
      <c r="I117" s="1436">
        <f>ROUND(0.7412-0.0095*B113,4)</f>
        <v>0.74119999999999997</v>
      </c>
      <c r="J117" s="1436">
        <f t="shared" si="33"/>
        <v>0.74119999999999997</v>
      </c>
      <c r="K117" s="1436">
        <f t="shared" si="33"/>
        <v>0.74119999999999997</v>
      </c>
      <c r="L117" s="1436">
        <f t="shared" si="33"/>
        <v>0.74119999999999997</v>
      </c>
      <c r="M117" s="1437">
        <f t="shared" si="33"/>
        <v>0.74119999999999997</v>
      </c>
    </row>
    <row r="118" spans="1:13" ht="13.5" thickBot="1">
      <c r="A118" s="990" t="s">
        <v>2417</v>
      </c>
      <c r="B118" s="1439">
        <f>ROUND(0.7275-0.01*B113,4)</f>
        <v>0.72750000000000004</v>
      </c>
      <c r="C118" s="1439">
        <f>B118</f>
        <v>0.72750000000000004</v>
      </c>
      <c r="D118" s="1439">
        <f>ROUND(0.7043-0.012*B113,4)</f>
        <v>0.70430000000000004</v>
      </c>
      <c r="E118" s="1439">
        <f>D118</f>
        <v>0.70430000000000004</v>
      </c>
      <c r="F118" s="1439">
        <f>E118</f>
        <v>0.70430000000000004</v>
      </c>
      <c r="G118" s="1439">
        <f>ROUND(0.6299-0.0122*B113,4)</f>
        <v>0.62990000000000002</v>
      </c>
      <c r="H118" s="1439">
        <f>G118</f>
        <v>0.62990000000000002</v>
      </c>
      <c r="I118" s="1439">
        <f>ROUND(0.5667-0.0136*B113,4)</f>
        <v>0.56669999999999998</v>
      </c>
      <c r="J118" s="1439">
        <f t="shared" si="33"/>
        <v>0.56669999999999998</v>
      </c>
      <c r="K118" s="1439">
        <f t="shared" si="33"/>
        <v>0.56669999999999998</v>
      </c>
      <c r="L118" s="1439">
        <f t="shared" si="33"/>
        <v>0.56669999999999998</v>
      </c>
      <c r="M118" s="1440">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5" customWidth="1"/>
    <col min="2" max="2" width="10.25" style="1298" customWidth="1"/>
  </cols>
  <sheetData>
    <row r="1" spans="1:6">
      <c r="A1" s="3518" t="s">
        <v>2019</v>
      </c>
      <c r="B1" s="3518"/>
    </row>
    <row r="2" spans="1:6" ht="14.25" thickBot="1">
      <c r="A2" s="1904"/>
      <c r="B2" s="1904"/>
    </row>
    <row r="3" spans="1:6" ht="14.25" thickBot="1">
      <c r="A3" s="1904"/>
      <c r="B3" s="1904"/>
      <c r="C3" s="1907" t="s">
        <v>2020</v>
      </c>
      <c r="D3" s="1907" t="s">
        <v>2021</v>
      </c>
      <c r="E3" s="1907" t="s">
        <v>2022</v>
      </c>
      <c r="F3" s="1907" t="s">
        <v>2023</v>
      </c>
    </row>
    <row r="4" spans="1:6" ht="14.25" thickBot="1">
      <c r="A4" s="1908" t="s">
        <v>2024</v>
      </c>
      <c r="B4" s="1909" t="s">
        <v>2025</v>
      </c>
      <c r="C4" s="1907"/>
      <c r="D4" s="1907"/>
      <c r="E4" s="1907"/>
      <c r="F4" s="1907"/>
    </row>
    <row r="5" spans="1:6" ht="14.25" thickBot="1">
      <c r="A5" s="1341" t="s">
        <v>2026</v>
      </c>
      <c r="B5" s="1342" t="s">
        <v>2027</v>
      </c>
      <c r="C5" s="1910">
        <v>8.8999999999999996E-2</v>
      </c>
      <c r="D5" s="1910">
        <v>7.3999999999999996E-2</v>
      </c>
      <c r="E5" s="1910">
        <v>7.4999999999999997E-2</v>
      </c>
      <c r="F5" s="1911">
        <v>0.1</v>
      </c>
    </row>
    <row r="6" spans="1:6" ht="14.25" thickBot="1">
      <c r="A6" s="1341" t="s">
        <v>1146</v>
      </c>
      <c r="B6" s="1335" t="s">
        <v>2028</v>
      </c>
      <c r="C6" s="1912">
        <v>0.1</v>
      </c>
      <c r="D6" s="1912">
        <v>9.0999999999999998E-2</v>
      </c>
      <c r="E6" s="1912">
        <v>9.0999999999999998E-2</v>
      </c>
      <c r="F6" s="1913">
        <v>0.1</v>
      </c>
    </row>
    <row r="7" spans="1:6" ht="14.25" thickBot="1">
      <c r="A7" s="1341" t="s">
        <v>1146</v>
      </c>
      <c r="B7" s="1349" t="s">
        <v>1135</v>
      </c>
      <c r="C7" s="1912">
        <v>8.5999999999999993E-2</v>
      </c>
      <c r="D7" s="1912">
        <v>9.6000000000000002E-2</v>
      </c>
      <c r="E7" s="1912">
        <v>7.5999999999999998E-2</v>
      </c>
      <c r="F7" s="1913">
        <v>0.1</v>
      </c>
    </row>
    <row r="8" spans="1:6" ht="14.25" thickBot="1">
      <c r="A8" s="1341" t="s">
        <v>1146</v>
      </c>
      <c r="B8" s="1335" t="s">
        <v>1147</v>
      </c>
      <c r="C8" s="1912">
        <v>9.9000000000000005E-2</v>
      </c>
      <c r="D8" s="1912">
        <v>9.8000000000000004E-2</v>
      </c>
      <c r="E8" s="1912">
        <v>9.8000000000000004E-2</v>
      </c>
      <c r="F8" s="1913">
        <v>0.1</v>
      </c>
    </row>
    <row r="9" spans="1:6" ht="14.25" thickBot="1">
      <c r="A9" s="1358" t="s">
        <v>1146</v>
      </c>
      <c r="B9" s="1350" t="s">
        <v>1159</v>
      </c>
      <c r="C9" s="1914">
        <v>0.05</v>
      </c>
      <c r="D9" s="1915"/>
      <c r="E9" s="1915"/>
      <c r="F9" s="1916"/>
    </row>
    <row r="10" spans="1:6" ht="14.25" thickBot="1">
      <c r="A10" s="1341" t="s">
        <v>1206</v>
      </c>
      <c r="B10" s="1342" t="s">
        <v>2029</v>
      </c>
      <c r="C10" s="1910">
        <v>8.8999999999999996E-2</v>
      </c>
      <c r="D10" s="1910">
        <v>7.2999999999999995E-2</v>
      </c>
      <c r="E10" s="1910">
        <v>8.2000000000000003E-2</v>
      </c>
      <c r="F10" s="1911">
        <v>0.1</v>
      </c>
    </row>
    <row r="11" spans="1:6" ht="14.25" thickBot="1">
      <c r="A11" s="1341" t="s">
        <v>1206</v>
      </c>
      <c r="B11" s="1349" t="s">
        <v>1122</v>
      </c>
      <c r="C11" s="1912">
        <v>8.8999999999999996E-2</v>
      </c>
      <c r="D11" s="1912">
        <v>7.2999999999999995E-2</v>
      </c>
      <c r="E11" s="1912">
        <v>8.2000000000000003E-2</v>
      </c>
      <c r="F11" s="1913">
        <v>0.1</v>
      </c>
    </row>
    <row r="12" spans="1:6" ht="14.25" thickBot="1">
      <c r="A12" s="1341" t="s">
        <v>1206</v>
      </c>
      <c r="B12" s="1349" t="s">
        <v>1056</v>
      </c>
      <c r="C12" s="1912">
        <v>6.0999999999999999E-2</v>
      </c>
      <c r="D12" s="1912">
        <v>7.0999999999999994E-2</v>
      </c>
      <c r="E12" s="1912">
        <v>9.6000000000000002E-2</v>
      </c>
      <c r="F12" s="1913">
        <v>0.1</v>
      </c>
    </row>
    <row r="13" spans="1:6" ht="14.25" thickBot="1">
      <c r="A13" s="1341" t="s">
        <v>1206</v>
      </c>
      <c r="B13" s="1349" t="s">
        <v>1148</v>
      </c>
      <c r="C13" s="1912">
        <v>6.9000000000000006E-2</v>
      </c>
      <c r="D13" s="1912">
        <v>6.5000000000000002E-2</v>
      </c>
      <c r="E13" s="1912">
        <v>6.6000000000000003E-2</v>
      </c>
      <c r="F13" s="1913">
        <v>0.1</v>
      </c>
    </row>
    <row r="14" spans="1:6" ht="14.25" thickBot="1">
      <c r="A14" s="1341" t="s">
        <v>1206</v>
      </c>
      <c r="B14" s="1349" t="s">
        <v>1160</v>
      </c>
      <c r="C14" s="1912">
        <v>0.1</v>
      </c>
      <c r="D14" s="1912">
        <v>6.5000000000000002E-2</v>
      </c>
      <c r="E14" s="1912">
        <v>7.0000000000000007E-2</v>
      </c>
      <c r="F14" s="1913">
        <v>0.1</v>
      </c>
    </row>
    <row r="15" spans="1:6" ht="14.25" thickBot="1">
      <c r="A15" s="1341" t="s">
        <v>1206</v>
      </c>
      <c r="B15" s="1349" t="s">
        <v>1172</v>
      </c>
      <c r="C15" s="1912">
        <v>9.8000000000000004E-2</v>
      </c>
      <c r="D15" s="1912">
        <v>8.8999999999999996E-2</v>
      </c>
      <c r="E15" s="1912">
        <v>8.8999999999999996E-2</v>
      </c>
      <c r="F15" s="1913">
        <v>0.1</v>
      </c>
    </row>
    <row r="16" spans="1:6" ht="14.25" thickBot="1">
      <c r="A16" s="1341" t="s">
        <v>1206</v>
      </c>
      <c r="B16" s="1349" t="s">
        <v>1184</v>
      </c>
      <c r="C16" s="1912">
        <v>7.0000000000000007E-2</v>
      </c>
      <c r="D16" s="1912">
        <v>9.2999999999999999E-2</v>
      </c>
      <c r="E16" s="1912">
        <v>9.6000000000000002E-2</v>
      </c>
      <c r="F16" s="1913">
        <v>0.1</v>
      </c>
    </row>
    <row r="17" spans="1:6" ht="14.25" thickBot="1">
      <c r="A17" s="1341" t="s">
        <v>1206</v>
      </c>
      <c r="B17" s="1349" t="s">
        <v>1196</v>
      </c>
      <c r="C17" s="1912">
        <v>9.5000000000000001E-2</v>
      </c>
      <c r="D17" s="1912">
        <v>0.1</v>
      </c>
      <c r="E17" s="1912">
        <v>0.1</v>
      </c>
      <c r="F17" s="1917"/>
    </row>
    <row r="18" spans="1:6" ht="14.25" thickBot="1">
      <c r="A18" s="1341" t="s">
        <v>1206</v>
      </c>
      <c r="B18" s="1349" t="s">
        <v>1209</v>
      </c>
      <c r="C18" s="1912">
        <v>7.3999999999999996E-2</v>
      </c>
      <c r="D18" s="1912">
        <v>9.9000000000000005E-2</v>
      </c>
      <c r="E18" s="1912">
        <v>0.1</v>
      </c>
      <c r="F18" s="1917"/>
    </row>
    <row r="19" spans="1:6" ht="14.25" thickBot="1">
      <c r="A19" s="1341" t="s">
        <v>1206</v>
      </c>
      <c r="B19" s="1349" t="s">
        <v>1220</v>
      </c>
      <c r="C19" s="1912">
        <v>9.9000000000000005E-2</v>
      </c>
      <c r="D19" s="1912">
        <v>7.5999999999999998E-2</v>
      </c>
      <c r="E19" s="1912">
        <v>8.6999999999999994E-2</v>
      </c>
      <c r="F19" s="1917"/>
    </row>
    <row r="20" spans="1:6" ht="14.25" thickBot="1">
      <c r="A20" s="1341" t="s">
        <v>1206</v>
      </c>
      <c r="B20" s="1349" t="s">
        <v>1231</v>
      </c>
      <c r="C20" s="1912">
        <v>9.8000000000000004E-2</v>
      </c>
      <c r="D20" s="1912">
        <v>8.5000000000000006E-2</v>
      </c>
      <c r="E20" s="1912">
        <v>8.2000000000000003E-2</v>
      </c>
      <c r="F20" s="1917"/>
    </row>
    <row r="21" spans="1:6" ht="14.25" thickBot="1">
      <c r="A21" s="1341" t="s">
        <v>1206</v>
      </c>
      <c r="B21" s="1349" t="s">
        <v>1242</v>
      </c>
      <c r="C21" s="1912">
        <v>6.6000000000000003E-2</v>
      </c>
      <c r="D21" s="1912">
        <v>6.4000000000000001E-2</v>
      </c>
      <c r="E21" s="1912">
        <v>6.5000000000000002E-2</v>
      </c>
      <c r="F21" s="1917"/>
    </row>
    <row r="22" spans="1:6" ht="14.25" thickBot="1">
      <c r="A22" s="1341" t="s">
        <v>1206</v>
      </c>
      <c r="B22" s="1349" t="s">
        <v>2030</v>
      </c>
      <c r="C22" s="1912">
        <v>0.08</v>
      </c>
      <c r="D22" s="1912">
        <v>9.8000000000000004E-2</v>
      </c>
      <c r="E22" s="1912">
        <v>9.8000000000000004E-2</v>
      </c>
      <c r="F22" s="1917"/>
    </row>
    <row r="23" spans="1:6" ht="14.25" thickBot="1">
      <c r="A23" s="1341" t="s">
        <v>1206</v>
      </c>
      <c r="B23" s="1349" t="s">
        <v>1264</v>
      </c>
      <c r="C23" s="1912">
        <v>9.9000000000000005E-2</v>
      </c>
      <c r="D23" s="1912">
        <v>9.8000000000000004E-2</v>
      </c>
      <c r="E23" s="1912">
        <v>9.0999999999999998E-2</v>
      </c>
      <c r="F23" s="1917"/>
    </row>
    <row r="24" spans="1:6" ht="14.25" thickBot="1">
      <c r="A24" s="1341" t="s">
        <v>1206</v>
      </c>
      <c r="B24" s="1349" t="s">
        <v>1275</v>
      </c>
      <c r="C24" s="1912">
        <v>8.8999999999999996E-2</v>
      </c>
      <c r="D24" s="1912">
        <v>9.7000000000000003E-2</v>
      </c>
      <c r="E24" s="1912">
        <v>7.0000000000000007E-2</v>
      </c>
      <c r="F24" s="1917"/>
    </row>
    <row r="25" spans="1:6" ht="14.25" thickBot="1">
      <c r="A25" s="1341" t="s">
        <v>1206</v>
      </c>
      <c r="B25" s="1349" t="s">
        <v>1285</v>
      </c>
      <c r="C25" s="1912">
        <v>8.8999999999999996E-2</v>
      </c>
      <c r="D25" s="1912">
        <v>0.1</v>
      </c>
      <c r="E25" s="1912">
        <v>8.1000000000000003E-2</v>
      </c>
      <c r="F25" s="1917"/>
    </row>
    <row r="26" spans="1:6" ht="14.25" thickBot="1">
      <c r="A26" s="1341" t="s">
        <v>1206</v>
      </c>
      <c r="B26" s="1349" t="s">
        <v>1295</v>
      </c>
      <c r="C26" s="1918"/>
      <c r="D26" s="1912">
        <v>9.6000000000000002E-2</v>
      </c>
      <c r="E26" s="1912">
        <v>9.2999999999999999E-2</v>
      </c>
      <c r="F26" s="1917"/>
    </row>
    <row r="27" spans="1:6" ht="14.25" thickBot="1">
      <c r="A27" s="1341" t="s">
        <v>1206</v>
      </c>
      <c r="B27" s="1349" t="s">
        <v>1305</v>
      </c>
      <c r="C27" s="1918"/>
      <c r="D27" s="1912">
        <v>7.5999999999999998E-2</v>
      </c>
      <c r="E27" s="1912">
        <v>9.1999999999999998E-2</v>
      </c>
      <c r="F27" s="1917"/>
    </row>
    <row r="28" spans="1:6" ht="14.25" thickBot="1">
      <c r="A28" s="1358" t="s">
        <v>1206</v>
      </c>
      <c r="B28" s="1350" t="s">
        <v>1315</v>
      </c>
      <c r="C28" s="1915"/>
      <c r="D28" s="1914">
        <v>7.5999999999999998E-2</v>
      </c>
      <c r="E28" s="1914">
        <v>9.1999999999999998E-2</v>
      </c>
      <c r="F28" s="1916"/>
    </row>
    <row r="29" spans="1:6" ht="14.25" thickBot="1">
      <c r="A29" s="1341" t="s">
        <v>1384</v>
      </c>
      <c r="B29" s="1342" t="s">
        <v>2031</v>
      </c>
      <c r="C29" s="1910">
        <v>6.4000000000000001E-2</v>
      </c>
      <c r="D29" s="1910">
        <v>6.5000000000000002E-2</v>
      </c>
      <c r="E29" s="1910">
        <v>6.9000000000000006E-2</v>
      </c>
      <c r="F29" s="1911">
        <v>0.1</v>
      </c>
    </row>
    <row r="30" spans="1:6" ht="14.25" thickBot="1">
      <c r="A30" s="1341" t="s">
        <v>1384</v>
      </c>
      <c r="B30" s="1349" t="s">
        <v>1123</v>
      </c>
      <c r="C30" s="1912">
        <v>6.4000000000000001E-2</v>
      </c>
      <c r="D30" s="1912">
        <v>9.9000000000000005E-2</v>
      </c>
      <c r="E30" s="1912">
        <v>0.1</v>
      </c>
      <c r="F30" s="1913">
        <v>0.1</v>
      </c>
    </row>
    <row r="31" spans="1:6" ht="14.25" thickBot="1">
      <c r="A31" s="1341" t="s">
        <v>1384</v>
      </c>
      <c r="B31" s="1349" t="s">
        <v>1136</v>
      </c>
      <c r="C31" s="1912">
        <v>0.1</v>
      </c>
      <c r="D31" s="1912">
        <v>9.5000000000000001E-2</v>
      </c>
      <c r="E31" s="1912">
        <v>8.8999999999999996E-2</v>
      </c>
      <c r="F31" s="1913">
        <v>0.1</v>
      </c>
    </row>
    <row r="32" spans="1:6" ht="14.25" thickBot="1">
      <c r="A32" s="1341" t="s">
        <v>1384</v>
      </c>
      <c r="B32" s="1349" t="s">
        <v>1149</v>
      </c>
      <c r="C32" s="1912">
        <v>0.05</v>
      </c>
      <c r="D32" s="1912">
        <v>0.05</v>
      </c>
      <c r="E32" s="1912">
        <v>8.7999999999999995E-2</v>
      </c>
      <c r="F32" s="1913">
        <v>0.1</v>
      </c>
    </row>
    <row r="33" spans="1:6" ht="14.25" thickBot="1">
      <c r="A33" s="1341" t="s">
        <v>1384</v>
      </c>
      <c r="B33" s="1349" t="s">
        <v>1161</v>
      </c>
      <c r="C33" s="1912">
        <v>7.4999999999999997E-2</v>
      </c>
      <c r="D33" s="1912">
        <v>9.4E-2</v>
      </c>
      <c r="E33" s="1912">
        <v>9.7000000000000003E-2</v>
      </c>
      <c r="F33" s="1913">
        <v>0.1</v>
      </c>
    </row>
    <row r="34" spans="1:6" ht="14.25" thickBot="1">
      <c r="A34" s="1341" t="s">
        <v>1384</v>
      </c>
      <c r="B34" s="1349" t="s">
        <v>1173</v>
      </c>
      <c r="C34" s="1912">
        <v>9.8000000000000004E-2</v>
      </c>
      <c r="D34" s="1912">
        <v>8.5999999999999993E-2</v>
      </c>
      <c r="E34" s="1912">
        <v>9.7000000000000003E-2</v>
      </c>
      <c r="F34" s="1913">
        <v>0.1</v>
      </c>
    </row>
    <row r="35" spans="1:6" ht="14.25" thickBot="1">
      <c r="A35" s="1341" t="s">
        <v>1384</v>
      </c>
      <c r="B35" s="1349" t="s">
        <v>1185</v>
      </c>
      <c r="C35" s="1912">
        <v>5.8999999999999997E-2</v>
      </c>
      <c r="D35" s="1912">
        <v>6.5000000000000002E-2</v>
      </c>
      <c r="E35" s="1912">
        <v>7.0000000000000007E-2</v>
      </c>
      <c r="F35" s="1913">
        <v>0.1</v>
      </c>
    </row>
    <row r="36" spans="1:6" ht="14.25" thickBot="1">
      <c r="A36" s="1341" t="s">
        <v>1384</v>
      </c>
      <c r="B36" s="1349" t="s">
        <v>1197</v>
      </c>
      <c r="C36" s="1912">
        <v>6.3E-2</v>
      </c>
      <c r="D36" s="1912">
        <v>0.1</v>
      </c>
      <c r="E36" s="1912">
        <v>0.1</v>
      </c>
      <c r="F36" s="1913">
        <v>0.1</v>
      </c>
    </row>
    <row r="37" spans="1:6" ht="14.25" thickBot="1">
      <c r="A37" s="1341" t="s">
        <v>1384</v>
      </c>
      <c r="B37" s="1349" t="s">
        <v>1210</v>
      </c>
      <c r="C37" s="1912">
        <v>7.3999999999999996E-2</v>
      </c>
      <c r="D37" s="1912">
        <v>0.1</v>
      </c>
      <c r="E37" s="1912">
        <v>0.1</v>
      </c>
      <c r="F37" s="1913">
        <v>0.1</v>
      </c>
    </row>
    <row r="38" spans="1:6" ht="14.25" thickBot="1">
      <c r="A38" s="1341" t="s">
        <v>1384</v>
      </c>
      <c r="B38" s="1349" t="s">
        <v>1221</v>
      </c>
      <c r="C38" s="1912">
        <v>0.1</v>
      </c>
      <c r="D38" s="1912">
        <v>9.6000000000000002E-2</v>
      </c>
      <c r="E38" s="1912">
        <v>9.6000000000000002E-2</v>
      </c>
      <c r="F38" s="1917"/>
    </row>
    <row r="39" spans="1:6" ht="14.25" thickBot="1">
      <c r="A39" s="1341" t="s">
        <v>1384</v>
      </c>
      <c r="B39" s="1349" t="s">
        <v>1232</v>
      </c>
      <c r="C39" s="1912">
        <v>0.1</v>
      </c>
      <c r="D39" s="1912">
        <v>9.6000000000000002E-2</v>
      </c>
      <c r="E39" s="1912">
        <v>9.6000000000000002E-2</v>
      </c>
      <c r="F39" s="1917"/>
    </row>
    <row r="40" spans="1:6" ht="14.25" thickBot="1">
      <c r="A40" s="1341" t="s">
        <v>1384</v>
      </c>
      <c r="B40" s="1349" t="s">
        <v>1243</v>
      </c>
      <c r="C40" s="1912">
        <v>9.6000000000000002E-2</v>
      </c>
      <c r="D40" s="1912">
        <v>0.1</v>
      </c>
      <c r="E40" s="1912">
        <v>9.9000000000000005E-2</v>
      </c>
      <c r="F40" s="1917"/>
    </row>
    <row r="41" spans="1:6" ht="14.25" thickBot="1">
      <c r="A41" s="1341" t="s">
        <v>1384</v>
      </c>
      <c r="B41" s="1349" t="s">
        <v>1254</v>
      </c>
      <c r="C41" s="1912">
        <v>9.6000000000000002E-2</v>
      </c>
      <c r="D41" s="1912">
        <v>9.8000000000000004E-2</v>
      </c>
      <c r="E41" s="1912">
        <v>9.8000000000000004E-2</v>
      </c>
      <c r="F41" s="1917"/>
    </row>
    <row r="42" spans="1:6" ht="14.25" thickBot="1">
      <c r="A42" s="1341" t="s">
        <v>1384</v>
      </c>
      <c r="B42" s="1349" t="s">
        <v>1265</v>
      </c>
      <c r="C42" s="1912">
        <v>0.1</v>
      </c>
      <c r="D42" s="1912">
        <v>8.7999999999999995E-2</v>
      </c>
      <c r="E42" s="1912">
        <v>0.1</v>
      </c>
      <c r="F42" s="1917"/>
    </row>
    <row r="43" spans="1:6" ht="14.25" thickBot="1">
      <c r="A43" s="1341" t="s">
        <v>1384</v>
      </c>
      <c r="B43" s="1349" t="s">
        <v>1276</v>
      </c>
      <c r="C43" s="1912">
        <v>9.8000000000000004E-2</v>
      </c>
      <c r="D43" s="1912">
        <v>9.7000000000000003E-2</v>
      </c>
      <c r="E43" s="1912">
        <v>9.6000000000000002E-2</v>
      </c>
      <c r="F43" s="1917"/>
    </row>
    <row r="44" spans="1:6" ht="14.25" thickBot="1">
      <c r="A44" s="1341" t="s">
        <v>1384</v>
      </c>
      <c r="B44" s="1349" t="s">
        <v>1286</v>
      </c>
      <c r="C44" s="1912">
        <v>8.5999999999999993E-2</v>
      </c>
      <c r="D44" s="1912">
        <v>7.9000000000000001E-2</v>
      </c>
      <c r="E44" s="1912">
        <v>7.0999999999999994E-2</v>
      </c>
      <c r="F44" s="1917"/>
    </row>
    <row r="45" spans="1:6" ht="14.25" thickBot="1">
      <c r="A45" s="1341" t="s">
        <v>1384</v>
      </c>
      <c r="B45" s="1349" t="s">
        <v>1296</v>
      </c>
      <c r="C45" s="1912">
        <v>9.8000000000000004E-2</v>
      </c>
      <c r="D45" s="1912">
        <v>9.6000000000000002E-2</v>
      </c>
      <c r="E45" s="1912">
        <v>9.6000000000000002E-2</v>
      </c>
      <c r="F45" s="1917"/>
    </row>
    <row r="46" spans="1:6" ht="14.25" thickBot="1">
      <c r="A46" s="1341" t="s">
        <v>1384</v>
      </c>
      <c r="B46" s="1349" t="s">
        <v>1306</v>
      </c>
      <c r="C46" s="1912">
        <v>8.5999999999999993E-2</v>
      </c>
      <c r="D46" s="1912">
        <v>9.8000000000000004E-2</v>
      </c>
      <c r="E46" s="1912">
        <v>8.7999999999999995E-2</v>
      </c>
      <c r="F46" s="1917"/>
    </row>
    <row r="47" spans="1:6" ht="14.25" thickBot="1">
      <c r="A47" s="1341" t="s">
        <v>1384</v>
      </c>
      <c r="B47" s="1349" t="s">
        <v>1316</v>
      </c>
      <c r="C47" s="1912">
        <v>9.6000000000000002E-2</v>
      </c>
      <c r="D47" s="1918"/>
      <c r="E47" s="1912">
        <v>6.9000000000000006E-2</v>
      </c>
      <c r="F47" s="1917"/>
    </row>
    <row r="48" spans="1:6" ht="14.25" thickBot="1">
      <c r="A48" s="1358" t="s">
        <v>1384</v>
      </c>
      <c r="B48" s="1350" t="s">
        <v>1325</v>
      </c>
      <c r="C48" s="1914">
        <v>9.8000000000000004E-2</v>
      </c>
      <c r="D48" s="1915"/>
      <c r="E48" s="1914">
        <v>9.5000000000000001E-2</v>
      </c>
      <c r="F48" s="1916"/>
    </row>
    <row r="49" spans="1:6" ht="14.25" thickBot="1">
      <c r="A49" s="1341" t="s">
        <v>1055</v>
      </c>
      <c r="B49" s="1342" t="s">
        <v>2032</v>
      </c>
      <c r="C49" s="1910">
        <v>9.7000000000000003E-2</v>
      </c>
      <c r="D49" s="1910">
        <v>9.5000000000000001E-2</v>
      </c>
      <c r="E49" s="1910">
        <v>9.7000000000000003E-2</v>
      </c>
      <c r="F49" s="1911">
        <v>0.1</v>
      </c>
    </row>
    <row r="50" spans="1:6" ht="14.25" thickBot="1">
      <c r="A50" s="1341" t="s">
        <v>1055</v>
      </c>
      <c r="B50" s="1335" t="s">
        <v>1124</v>
      </c>
      <c r="C50" s="1912">
        <v>7.4999999999999997E-2</v>
      </c>
      <c r="D50" s="1912">
        <v>9.5000000000000001E-2</v>
      </c>
      <c r="E50" s="1912">
        <v>0.1</v>
      </c>
      <c r="F50" s="1913">
        <v>0.1</v>
      </c>
    </row>
    <row r="51" spans="1:6" ht="14.25" thickBot="1">
      <c r="A51" s="1341" t="s">
        <v>1055</v>
      </c>
      <c r="B51" s="1335" t="s">
        <v>1137</v>
      </c>
      <c r="C51" s="1912">
        <v>9.8000000000000004E-2</v>
      </c>
      <c r="D51" s="1912">
        <v>8.8999999999999996E-2</v>
      </c>
      <c r="E51" s="1912">
        <v>0.1</v>
      </c>
      <c r="F51" s="1913">
        <v>0.1</v>
      </c>
    </row>
    <row r="52" spans="1:6" ht="14.25" thickBot="1">
      <c r="A52" s="1341" t="s">
        <v>1055</v>
      </c>
      <c r="B52" s="1335" t="s">
        <v>1150</v>
      </c>
      <c r="C52" s="1912">
        <v>9.8000000000000004E-2</v>
      </c>
      <c r="D52" s="1912">
        <v>9.7000000000000003E-2</v>
      </c>
      <c r="E52" s="1912">
        <v>8.1000000000000003E-2</v>
      </c>
      <c r="F52" s="1913">
        <v>0.1</v>
      </c>
    </row>
    <row r="53" spans="1:6" ht="14.25" thickBot="1">
      <c r="A53" s="1341" t="s">
        <v>1055</v>
      </c>
      <c r="B53" s="1335" t="s">
        <v>1162</v>
      </c>
      <c r="C53" s="1912">
        <v>9.7000000000000003E-2</v>
      </c>
      <c r="D53" s="1912">
        <v>7.5999999999999998E-2</v>
      </c>
      <c r="E53" s="1912">
        <v>7.0999999999999994E-2</v>
      </c>
      <c r="F53" s="1913">
        <v>0.1</v>
      </c>
    </row>
    <row r="54" spans="1:6" ht="14.25" thickBot="1">
      <c r="A54" s="1341" t="s">
        <v>1055</v>
      </c>
      <c r="B54" s="1335" t="s">
        <v>1174</v>
      </c>
      <c r="C54" s="1912">
        <v>7.5999999999999998E-2</v>
      </c>
      <c r="D54" s="1912">
        <v>0.1</v>
      </c>
      <c r="E54" s="1912">
        <v>9.9000000000000005E-2</v>
      </c>
      <c r="F54" s="1913">
        <v>0.1</v>
      </c>
    </row>
    <row r="55" spans="1:6" ht="14.25" thickBot="1">
      <c r="A55" s="1341" t="s">
        <v>1055</v>
      </c>
      <c r="B55" s="1335" t="s">
        <v>1186</v>
      </c>
      <c r="C55" s="1912">
        <v>0.1</v>
      </c>
      <c r="D55" s="1912">
        <v>0.1</v>
      </c>
      <c r="E55" s="1912">
        <v>9.6000000000000002E-2</v>
      </c>
      <c r="F55" s="1913">
        <v>0.1</v>
      </c>
    </row>
    <row r="56" spans="1:6" ht="14.25" thickBot="1">
      <c r="A56" s="1341" t="s">
        <v>1055</v>
      </c>
      <c r="B56" s="1335" t="s">
        <v>1198</v>
      </c>
      <c r="C56" s="1912">
        <v>0.1</v>
      </c>
      <c r="D56" s="1912">
        <v>9.6000000000000002E-2</v>
      </c>
      <c r="E56" s="1912">
        <v>5.1999999999999998E-2</v>
      </c>
      <c r="F56" s="1913">
        <v>0.1</v>
      </c>
    </row>
    <row r="57" spans="1:6" ht="14.25" thickBot="1">
      <c r="A57" s="1341" t="s">
        <v>1055</v>
      </c>
      <c r="B57" s="1335" t="s">
        <v>1211</v>
      </c>
      <c r="C57" s="1912">
        <v>9.7000000000000003E-2</v>
      </c>
      <c r="D57" s="1912">
        <v>9.6000000000000002E-2</v>
      </c>
      <c r="E57" s="1912">
        <v>9.6000000000000002E-2</v>
      </c>
      <c r="F57" s="1913">
        <v>0.1</v>
      </c>
    </row>
    <row r="58" spans="1:6" ht="14.25" thickBot="1">
      <c r="A58" s="1341" t="s">
        <v>1055</v>
      </c>
      <c r="B58" s="1335" t="s">
        <v>1222</v>
      </c>
      <c r="C58" s="1912">
        <v>9.6000000000000002E-2</v>
      </c>
      <c r="D58" s="1912">
        <v>9.9000000000000005E-2</v>
      </c>
      <c r="E58" s="1912">
        <v>9.6000000000000002E-2</v>
      </c>
      <c r="F58" s="1913">
        <v>0.1</v>
      </c>
    </row>
    <row r="59" spans="1:6" ht="14.25" thickBot="1">
      <c r="A59" s="1341" t="s">
        <v>1055</v>
      </c>
      <c r="B59" s="1335" t="s">
        <v>1233</v>
      </c>
      <c r="C59" s="1912">
        <v>7.1999999999999995E-2</v>
      </c>
      <c r="D59" s="1912">
        <v>9.6000000000000002E-2</v>
      </c>
      <c r="E59" s="1912">
        <v>7.0999999999999994E-2</v>
      </c>
      <c r="F59" s="1913">
        <v>0.1</v>
      </c>
    </row>
    <row r="60" spans="1:6" ht="14.25" thickBot="1">
      <c r="A60" s="1341" t="s">
        <v>1055</v>
      </c>
      <c r="B60" s="1335" t="s">
        <v>1244</v>
      </c>
      <c r="C60" s="1912">
        <v>9.6000000000000002E-2</v>
      </c>
      <c r="D60" s="1912">
        <v>8.8999999999999996E-2</v>
      </c>
      <c r="E60" s="1912">
        <v>9.6000000000000002E-2</v>
      </c>
      <c r="F60" s="1913">
        <v>0.1</v>
      </c>
    </row>
    <row r="61" spans="1:6" ht="14.25" thickBot="1">
      <c r="A61" s="1341" t="s">
        <v>1055</v>
      </c>
      <c r="B61" s="1335" t="s">
        <v>1255</v>
      </c>
      <c r="C61" s="1912">
        <v>8.8999999999999996E-2</v>
      </c>
      <c r="D61" s="1912">
        <v>9.8000000000000004E-2</v>
      </c>
      <c r="E61" s="1912">
        <v>8.7999999999999995E-2</v>
      </c>
      <c r="F61" s="1917"/>
    </row>
    <row r="62" spans="1:6" ht="14.25" thickBot="1">
      <c r="A62" s="1341" t="s">
        <v>1055</v>
      </c>
      <c r="B62" s="1335" t="s">
        <v>1266</v>
      </c>
      <c r="C62" s="1912">
        <v>9.8000000000000004E-2</v>
      </c>
      <c r="D62" s="1912">
        <v>9.2999999999999999E-2</v>
      </c>
      <c r="E62" s="1912">
        <v>9.7000000000000003E-2</v>
      </c>
      <c r="F62" s="1917"/>
    </row>
    <row r="63" spans="1:6" ht="14.25" thickBot="1">
      <c r="A63" s="1341" t="s">
        <v>1055</v>
      </c>
      <c r="B63" s="1335" t="s">
        <v>1277</v>
      </c>
      <c r="C63" s="1912">
        <v>9.6000000000000002E-2</v>
      </c>
      <c r="D63" s="1912">
        <v>9.8000000000000004E-2</v>
      </c>
      <c r="E63" s="1912">
        <v>0.09</v>
      </c>
      <c r="F63" s="1917"/>
    </row>
    <row r="64" spans="1:6" ht="14.25" thickBot="1">
      <c r="A64" s="1341" t="s">
        <v>1055</v>
      </c>
      <c r="B64" s="1335" t="s">
        <v>1287</v>
      </c>
      <c r="C64" s="1912">
        <v>9.9000000000000005E-2</v>
      </c>
      <c r="D64" s="1912">
        <v>9.7000000000000003E-2</v>
      </c>
      <c r="E64" s="1912">
        <v>9.9000000000000005E-2</v>
      </c>
      <c r="F64" s="1917"/>
    </row>
    <row r="65" spans="1:6" ht="14.25" thickBot="1">
      <c r="A65" s="1341" t="s">
        <v>1055</v>
      </c>
      <c r="B65" s="1335" t="s">
        <v>1297</v>
      </c>
      <c r="C65" s="1912">
        <v>9.8000000000000004E-2</v>
      </c>
      <c r="D65" s="1912">
        <v>9.6000000000000002E-2</v>
      </c>
      <c r="E65" s="1912">
        <v>9.6000000000000002E-2</v>
      </c>
      <c r="F65" s="1917"/>
    </row>
    <row r="66" spans="1:6" ht="14.25" thickBot="1">
      <c r="A66" s="1341" t="s">
        <v>1055</v>
      </c>
      <c r="B66" s="1335" t="s">
        <v>1307</v>
      </c>
      <c r="C66" s="1912">
        <v>9.6000000000000002E-2</v>
      </c>
      <c r="D66" s="1912">
        <v>9.1999999999999998E-2</v>
      </c>
      <c r="E66" s="1912">
        <v>9.6000000000000002E-2</v>
      </c>
      <c r="F66" s="1917"/>
    </row>
    <row r="67" spans="1:6" ht="14.25" thickBot="1">
      <c r="A67" s="1341" t="s">
        <v>1055</v>
      </c>
      <c r="B67" s="1335" t="s">
        <v>1317</v>
      </c>
      <c r="C67" s="1912">
        <v>9.4E-2</v>
      </c>
      <c r="D67" s="1912">
        <v>0.1</v>
      </c>
      <c r="E67" s="1912">
        <v>8.7999999999999995E-2</v>
      </c>
      <c r="F67" s="1917"/>
    </row>
    <row r="68" spans="1:6" ht="14.25" thickBot="1">
      <c r="A68" s="1341" t="s">
        <v>1055</v>
      </c>
      <c r="B68" s="1335" t="s">
        <v>1326</v>
      </c>
      <c r="C68" s="1912">
        <v>0.1</v>
      </c>
      <c r="D68" s="1912">
        <v>8.7999999999999995E-2</v>
      </c>
      <c r="E68" s="1912">
        <v>9.7000000000000003E-2</v>
      </c>
      <c r="F68" s="1917"/>
    </row>
    <row r="69" spans="1:6" ht="14.25" thickBot="1">
      <c r="A69" s="1341" t="s">
        <v>1055</v>
      </c>
      <c r="B69" s="1335" t="s">
        <v>1335</v>
      </c>
      <c r="C69" s="1912">
        <v>6.4000000000000001E-2</v>
      </c>
      <c r="D69" s="1912">
        <v>0.1</v>
      </c>
      <c r="E69" s="1912">
        <v>0.1</v>
      </c>
      <c r="F69" s="1917"/>
    </row>
    <row r="70" spans="1:6" ht="14.25" thickBot="1">
      <c r="A70" s="1341" t="s">
        <v>1055</v>
      </c>
      <c r="B70" s="1335" t="s">
        <v>1343</v>
      </c>
      <c r="C70" s="1912">
        <v>9.0999999999999998E-2</v>
      </c>
      <c r="D70" s="1918"/>
      <c r="E70" s="1918"/>
      <c r="F70" s="1917"/>
    </row>
    <row r="71" spans="1:6" ht="14.25" thickBot="1">
      <c r="A71" s="1341" t="s">
        <v>1055</v>
      </c>
      <c r="B71" s="1335" t="s">
        <v>1350</v>
      </c>
      <c r="C71" s="1912">
        <v>0.1</v>
      </c>
      <c r="D71" s="1918"/>
      <c r="E71" s="1918"/>
      <c r="F71" s="1917"/>
    </row>
    <row r="72" spans="1:6" ht="14.25" thickBot="1">
      <c r="A72" s="1341" t="s">
        <v>1055</v>
      </c>
      <c r="B72" s="1335" t="s">
        <v>2033</v>
      </c>
      <c r="C72" s="1918"/>
      <c r="D72" s="1918"/>
      <c r="E72" s="1918"/>
      <c r="F72" s="1913">
        <v>0.05</v>
      </c>
    </row>
    <row r="73" spans="1:6" ht="14.25" thickBot="1">
      <c r="A73" s="1341" t="s">
        <v>1055</v>
      </c>
      <c r="B73" s="1335" t="s">
        <v>2034</v>
      </c>
      <c r="C73" s="1918"/>
      <c r="D73" s="1918"/>
      <c r="E73" s="1918"/>
      <c r="F73" s="1913">
        <v>0.05</v>
      </c>
    </row>
    <row r="74" spans="1:6" ht="14.25" thickBot="1">
      <c r="A74" s="1341" t="s">
        <v>1055</v>
      </c>
      <c r="B74" s="1335" t="s">
        <v>2035</v>
      </c>
      <c r="C74" s="1918"/>
      <c r="D74" s="1918"/>
      <c r="E74" s="1918"/>
      <c r="F74" s="1913">
        <v>0.05</v>
      </c>
    </row>
    <row r="75" spans="1:6" ht="14.25" thickBot="1">
      <c r="A75" s="1358" t="s">
        <v>1055</v>
      </c>
      <c r="B75" s="1351" t="s">
        <v>2036</v>
      </c>
      <c r="C75" s="1915"/>
      <c r="D75" s="1915"/>
      <c r="E75" s="1915"/>
      <c r="F75" s="1919">
        <v>0.05</v>
      </c>
    </row>
    <row r="76" spans="1:6" ht="14.25" thickBot="1">
      <c r="A76" s="1341" t="s">
        <v>1465</v>
      </c>
      <c r="B76" s="1342" t="s">
        <v>2037</v>
      </c>
      <c r="C76" s="1910">
        <v>0.1</v>
      </c>
      <c r="D76" s="1910">
        <v>0.1</v>
      </c>
      <c r="E76" s="1910">
        <v>0.1</v>
      </c>
      <c r="F76" s="1911">
        <v>0.1</v>
      </c>
    </row>
    <row r="77" spans="1:6" ht="14.25" thickBot="1">
      <c r="A77" s="1341" t="s">
        <v>1465</v>
      </c>
      <c r="B77" s="1335" t="s">
        <v>1125</v>
      </c>
      <c r="C77" s="1912">
        <v>8.7999999999999995E-2</v>
      </c>
      <c r="D77" s="1912">
        <v>8.6999999999999994E-2</v>
      </c>
      <c r="E77" s="1912">
        <v>7.9000000000000001E-2</v>
      </c>
      <c r="F77" s="1913">
        <v>0.1</v>
      </c>
    </row>
    <row r="78" spans="1:6" ht="14.25" thickBot="1">
      <c r="A78" s="1341" t="s">
        <v>1465</v>
      </c>
      <c r="B78" s="1335" t="s">
        <v>1138</v>
      </c>
      <c r="C78" s="1912">
        <v>8.6999999999999994E-2</v>
      </c>
      <c r="D78" s="1912">
        <v>8.4000000000000005E-2</v>
      </c>
      <c r="E78" s="1912">
        <v>9.6000000000000002E-2</v>
      </c>
      <c r="F78" s="1913">
        <v>0.1</v>
      </c>
    </row>
    <row r="79" spans="1:6" ht="14.25" thickBot="1">
      <c r="A79" s="1341" t="s">
        <v>1465</v>
      </c>
      <c r="B79" s="1335" t="s">
        <v>1151</v>
      </c>
      <c r="C79" s="1912">
        <v>9.8000000000000004E-2</v>
      </c>
      <c r="D79" s="1912">
        <v>9.8000000000000004E-2</v>
      </c>
      <c r="E79" s="1912">
        <v>9.0999999999999998E-2</v>
      </c>
      <c r="F79" s="1913">
        <v>0.1</v>
      </c>
    </row>
    <row r="80" spans="1:6" ht="14.25" thickBot="1">
      <c r="A80" s="1341" t="s">
        <v>1465</v>
      </c>
      <c r="B80" s="1335" t="s">
        <v>1163</v>
      </c>
      <c r="C80" s="1912">
        <v>9.6000000000000002E-2</v>
      </c>
      <c r="D80" s="1912">
        <v>9.6000000000000002E-2</v>
      </c>
      <c r="E80" s="1912">
        <v>0.1</v>
      </c>
      <c r="F80" s="1913">
        <v>0.1</v>
      </c>
    </row>
    <row r="81" spans="1:6" ht="14.25" thickBot="1">
      <c r="A81" s="1341" t="s">
        <v>1465</v>
      </c>
      <c r="B81" s="1335" t="s">
        <v>1175</v>
      </c>
      <c r="C81" s="1912">
        <v>9.9000000000000005E-2</v>
      </c>
      <c r="D81" s="1912">
        <v>9.9000000000000005E-2</v>
      </c>
      <c r="E81" s="1912">
        <v>9.8000000000000004E-2</v>
      </c>
      <c r="F81" s="1913">
        <v>0.1</v>
      </c>
    </row>
    <row r="82" spans="1:6" ht="14.25" thickBot="1">
      <c r="A82" s="1341" t="s">
        <v>1465</v>
      </c>
      <c r="B82" s="1335" t="s">
        <v>1187</v>
      </c>
      <c r="C82" s="1912">
        <v>9.9000000000000005E-2</v>
      </c>
      <c r="D82" s="1912">
        <v>9.9000000000000005E-2</v>
      </c>
      <c r="E82" s="1912">
        <v>9.7000000000000003E-2</v>
      </c>
      <c r="F82" s="1913">
        <v>0.1</v>
      </c>
    </row>
    <row r="83" spans="1:6" ht="14.25" thickBot="1">
      <c r="A83" s="1341" t="s">
        <v>1465</v>
      </c>
      <c r="B83" s="1335" t="s">
        <v>1199</v>
      </c>
      <c r="C83" s="1912">
        <v>9.8000000000000004E-2</v>
      </c>
      <c r="D83" s="1912">
        <v>9.8000000000000004E-2</v>
      </c>
      <c r="E83" s="1912">
        <v>9.8000000000000004E-2</v>
      </c>
      <c r="F83" s="1913">
        <v>0.1</v>
      </c>
    </row>
    <row r="84" spans="1:6" ht="14.25" thickBot="1">
      <c r="A84" s="1341" t="s">
        <v>1465</v>
      </c>
      <c r="B84" s="1335" t="s">
        <v>1212</v>
      </c>
      <c r="C84" s="1912">
        <v>9.9000000000000005E-2</v>
      </c>
      <c r="D84" s="1912">
        <v>9.9000000000000005E-2</v>
      </c>
      <c r="E84" s="1912">
        <v>9.9000000000000005E-2</v>
      </c>
      <c r="F84" s="1913">
        <v>0.1</v>
      </c>
    </row>
    <row r="85" spans="1:6" ht="14.25" thickBot="1">
      <c r="A85" s="1341" t="s">
        <v>1465</v>
      </c>
      <c r="B85" s="1335" t="s">
        <v>1223</v>
      </c>
      <c r="C85" s="1912">
        <v>9.9000000000000005E-2</v>
      </c>
      <c r="D85" s="1912">
        <v>9.9000000000000005E-2</v>
      </c>
      <c r="E85" s="1912">
        <v>9.9000000000000005E-2</v>
      </c>
      <c r="F85" s="1913">
        <v>0.1</v>
      </c>
    </row>
    <row r="86" spans="1:6" ht="14.25" thickBot="1">
      <c r="A86" s="1341" t="s">
        <v>1465</v>
      </c>
      <c r="B86" s="1335" t="s">
        <v>1234</v>
      </c>
      <c r="C86" s="1912">
        <v>0.1</v>
      </c>
      <c r="D86" s="1912">
        <v>0.1</v>
      </c>
      <c r="E86" s="1912">
        <v>7.6999999999999999E-2</v>
      </c>
      <c r="F86" s="1913">
        <v>0.1</v>
      </c>
    </row>
    <row r="87" spans="1:6" ht="14.25" thickBot="1">
      <c r="A87" s="1341" t="s">
        <v>1465</v>
      </c>
      <c r="B87" s="1335" t="s">
        <v>1245</v>
      </c>
      <c r="C87" s="1912">
        <v>0.1</v>
      </c>
      <c r="D87" s="1912">
        <v>0.1</v>
      </c>
      <c r="E87" s="1912">
        <v>9.8000000000000004E-2</v>
      </c>
      <c r="F87" s="1917"/>
    </row>
    <row r="88" spans="1:6" ht="14.25" thickBot="1">
      <c r="A88" s="1341" t="s">
        <v>1465</v>
      </c>
      <c r="B88" s="1335" t="s">
        <v>1256</v>
      </c>
      <c r="C88" s="1912">
        <v>9.1999999999999998E-2</v>
      </c>
      <c r="D88" s="1912">
        <v>8.5000000000000006E-2</v>
      </c>
      <c r="E88" s="1912">
        <v>9.6000000000000002E-2</v>
      </c>
      <c r="F88" s="1917"/>
    </row>
    <row r="89" spans="1:6" ht="14.25" thickBot="1">
      <c r="A89" s="1341" t="s">
        <v>1465</v>
      </c>
      <c r="B89" s="1335" t="s">
        <v>1267</v>
      </c>
      <c r="C89" s="1912">
        <v>0.1</v>
      </c>
      <c r="D89" s="1912">
        <v>0.1</v>
      </c>
      <c r="E89" s="1912">
        <v>9.7000000000000003E-2</v>
      </c>
      <c r="F89" s="1917"/>
    </row>
    <row r="90" spans="1:6" ht="14.25" thickBot="1">
      <c r="A90" s="1341" t="s">
        <v>1465</v>
      </c>
      <c r="B90" s="1335" t="s">
        <v>1278</v>
      </c>
      <c r="C90" s="1912">
        <v>9.8000000000000004E-2</v>
      </c>
      <c r="D90" s="1912">
        <v>9.8000000000000004E-2</v>
      </c>
      <c r="E90" s="1912">
        <v>8.7999999999999995E-2</v>
      </c>
      <c r="F90" s="1917"/>
    </row>
    <row r="91" spans="1:6" ht="14.25" thickBot="1">
      <c r="A91" s="1341" t="s">
        <v>1465</v>
      </c>
      <c r="B91" s="1335" t="s">
        <v>1288</v>
      </c>
      <c r="C91" s="1912">
        <v>9.9000000000000005E-2</v>
      </c>
      <c r="D91" s="1912">
        <v>9.9000000000000005E-2</v>
      </c>
      <c r="E91" s="1912">
        <v>9.0999999999999998E-2</v>
      </c>
      <c r="F91" s="1917"/>
    </row>
    <row r="92" spans="1:6" ht="14.25" thickBot="1">
      <c r="A92" s="1341" t="s">
        <v>1465</v>
      </c>
      <c r="B92" s="1335" t="s">
        <v>1298</v>
      </c>
      <c r="C92" s="1912">
        <v>9.6000000000000002E-2</v>
      </c>
      <c r="D92" s="1912">
        <v>9.6000000000000002E-2</v>
      </c>
      <c r="E92" s="1912">
        <v>7.2999999999999995E-2</v>
      </c>
      <c r="F92" s="1917"/>
    </row>
    <row r="93" spans="1:6" ht="14.25" thickBot="1">
      <c r="A93" s="1341" t="s">
        <v>1465</v>
      </c>
      <c r="B93" s="1335" t="s">
        <v>1308</v>
      </c>
      <c r="C93" s="1912">
        <v>9.6000000000000002E-2</v>
      </c>
      <c r="D93" s="1912">
        <v>9.6000000000000002E-2</v>
      </c>
      <c r="E93" s="1912">
        <v>9.9000000000000005E-2</v>
      </c>
      <c r="F93" s="1917"/>
    </row>
    <row r="94" spans="1:6" ht="14.25" thickBot="1">
      <c r="A94" s="1341" t="s">
        <v>1465</v>
      </c>
      <c r="B94" s="1335" t="s">
        <v>1318</v>
      </c>
      <c r="C94" s="1912">
        <v>7.5999999999999998E-2</v>
      </c>
      <c r="D94" s="1912">
        <v>7.3999999999999996E-2</v>
      </c>
      <c r="E94" s="1912">
        <v>9.7000000000000003E-2</v>
      </c>
      <c r="F94" s="1917"/>
    </row>
    <row r="95" spans="1:6" ht="14.25" thickBot="1">
      <c r="A95" s="1341" t="s">
        <v>1465</v>
      </c>
      <c r="B95" s="1335" t="s">
        <v>1327</v>
      </c>
      <c r="C95" s="1912">
        <v>9.9000000000000005E-2</v>
      </c>
      <c r="D95" s="1912">
        <v>9.4E-2</v>
      </c>
      <c r="E95" s="1912">
        <v>9.6000000000000002E-2</v>
      </c>
      <c r="F95" s="1917"/>
    </row>
    <row r="96" spans="1:6" ht="14.25" thickBot="1">
      <c r="A96" s="1341" t="s">
        <v>1465</v>
      </c>
      <c r="B96" s="1335" t="s">
        <v>1336</v>
      </c>
      <c r="C96" s="1912">
        <v>9.9000000000000005E-2</v>
      </c>
      <c r="D96" s="1912">
        <v>9.9000000000000005E-2</v>
      </c>
      <c r="E96" s="1912">
        <v>9.9000000000000005E-2</v>
      </c>
      <c r="F96" s="1917"/>
    </row>
    <row r="97" spans="1:6" ht="14.25" thickBot="1">
      <c r="A97" s="1341" t="s">
        <v>1465</v>
      </c>
      <c r="B97" s="1335" t="s">
        <v>1344</v>
      </c>
      <c r="C97" s="1912">
        <v>9.8000000000000004E-2</v>
      </c>
      <c r="D97" s="1912">
        <v>9.8000000000000004E-2</v>
      </c>
      <c r="E97" s="1912">
        <v>9.7000000000000003E-2</v>
      </c>
      <c r="F97" s="1917"/>
    </row>
    <row r="98" spans="1:6" ht="14.25" thickBot="1">
      <c r="A98" s="1341" t="s">
        <v>1465</v>
      </c>
      <c r="B98" s="1335" t="s">
        <v>1351</v>
      </c>
      <c r="C98" s="1912">
        <v>0.1</v>
      </c>
      <c r="D98" s="1912">
        <v>0.1</v>
      </c>
      <c r="E98" s="1912">
        <v>9.7000000000000003E-2</v>
      </c>
      <c r="F98" s="1917"/>
    </row>
    <row r="99" spans="1:6" ht="14.25" thickBot="1">
      <c r="A99" s="1341" t="s">
        <v>1465</v>
      </c>
      <c r="B99" s="1335" t="s">
        <v>1358</v>
      </c>
      <c r="C99" s="1912">
        <v>0.1</v>
      </c>
      <c r="D99" s="1912">
        <v>0.1</v>
      </c>
      <c r="E99" s="1918"/>
      <c r="F99" s="1917"/>
    </row>
    <row r="100" spans="1:6" ht="14.25" thickBot="1">
      <c r="A100" s="1341" t="s">
        <v>1465</v>
      </c>
      <c r="B100" s="1335" t="s">
        <v>1365</v>
      </c>
      <c r="C100" s="1912">
        <v>0.09</v>
      </c>
      <c r="D100" s="1912">
        <v>8.8999999999999996E-2</v>
      </c>
      <c r="E100" s="1918"/>
      <c r="F100" s="1917"/>
    </row>
    <row r="101" spans="1:6" ht="14.25" thickBot="1">
      <c r="A101" s="1341" t="s">
        <v>1465</v>
      </c>
      <c r="B101" s="1335" t="s">
        <v>1372</v>
      </c>
      <c r="C101" s="1912">
        <v>9.8000000000000004E-2</v>
      </c>
      <c r="D101" s="1912">
        <v>9.7000000000000003E-2</v>
      </c>
      <c r="E101" s="1918"/>
      <c r="F101" s="1917"/>
    </row>
    <row r="102" spans="1:6" ht="14.25" thickBot="1">
      <c r="A102" s="1341" t="s">
        <v>1465</v>
      </c>
      <c r="B102" s="1335" t="s">
        <v>2038</v>
      </c>
      <c r="C102" s="1918"/>
      <c r="D102" s="1918"/>
      <c r="E102" s="1918"/>
      <c r="F102" s="1913">
        <v>0.05</v>
      </c>
    </row>
    <row r="103" spans="1:6" ht="24.75" thickBot="1">
      <c r="A103" s="1341" t="s">
        <v>1465</v>
      </c>
      <c r="B103" s="1335" t="s">
        <v>2039</v>
      </c>
      <c r="C103" s="1918"/>
      <c r="D103" s="1918"/>
      <c r="E103" s="1918"/>
      <c r="F103" s="1913">
        <v>0.05</v>
      </c>
    </row>
    <row r="104" spans="1:6" ht="14.25" thickBot="1">
      <c r="A104" s="1341" t="s">
        <v>1465</v>
      </c>
      <c r="B104" s="1335" t="s">
        <v>2040</v>
      </c>
      <c r="C104" s="1918"/>
      <c r="D104" s="1918"/>
      <c r="E104" s="1918"/>
      <c r="F104" s="1913">
        <v>0.05</v>
      </c>
    </row>
    <row r="105" spans="1:6" ht="14.25" thickBot="1">
      <c r="A105" s="1341" t="s">
        <v>1465</v>
      </c>
      <c r="B105" s="1335" t="s">
        <v>2041</v>
      </c>
      <c r="C105" s="1918"/>
      <c r="D105" s="1918"/>
      <c r="E105" s="1918"/>
      <c r="F105" s="1913">
        <v>0.05</v>
      </c>
    </row>
    <row r="106" spans="1:6" ht="14.25" thickBot="1">
      <c r="A106" s="1341" t="s">
        <v>1465</v>
      </c>
      <c r="B106" s="1335" t="s">
        <v>2042</v>
      </c>
      <c r="C106" s="1918"/>
      <c r="D106" s="1918"/>
      <c r="E106" s="1918"/>
      <c r="F106" s="1913">
        <v>0.05</v>
      </c>
    </row>
    <row r="107" spans="1:6" ht="24.75" thickBot="1">
      <c r="A107" s="1341" t="s">
        <v>1465</v>
      </c>
      <c r="B107" s="1335" t="s">
        <v>2043</v>
      </c>
      <c r="C107" s="1918"/>
      <c r="D107" s="1918"/>
      <c r="E107" s="1918"/>
      <c r="F107" s="1913">
        <v>0.05</v>
      </c>
    </row>
    <row r="108" spans="1:6" ht="24.75" thickBot="1">
      <c r="A108" s="1341" t="s">
        <v>1465</v>
      </c>
      <c r="B108" s="1335" t="s">
        <v>2044</v>
      </c>
      <c r="C108" s="1918"/>
      <c r="D108" s="1918"/>
      <c r="E108" s="1918"/>
      <c r="F108" s="1913">
        <v>0.05</v>
      </c>
    </row>
    <row r="109" spans="1:6" ht="24.75" thickBot="1">
      <c r="A109" s="1358" t="s">
        <v>1465</v>
      </c>
      <c r="B109" s="1351" t="s">
        <v>2045</v>
      </c>
      <c r="C109" s="1915"/>
      <c r="D109" s="1915"/>
      <c r="E109" s="1915"/>
      <c r="F109" s="1919">
        <v>0.05</v>
      </c>
    </row>
    <row r="110" spans="1:6" ht="14.25" thickBot="1">
      <c r="A110" s="1341" t="s">
        <v>210</v>
      </c>
      <c r="B110" s="1342" t="s">
        <v>2046</v>
      </c>
      <c r="C110" s="1910">
        <v>0.129</v>
      </c>
      <c r="D110" s="1910">
        <v>0.129</v>
      </c>
      <c r="E110" s="1910">
        <v>0.126</v>
      </c>
      <c r="F110" s="1911">
        <v>0.13</v>
      </c>
    </row>
    <row r="111" spans="1:6" ht="14.25" thickBot="1">
      <c r="A111" s="1341" t="s">
        <v>210</v>
      </c>
      <c r="B111" s="1335" t="s">
        <v>1126</v>
      </c>
      <c r="C111" s="1912">
        <v>0.11</v>
      </c>
      <c r="D111" s="1912">
        <v>0.11</v>
      </c>
      <c r="E111" s="1912">
        <v>9.9000000000000005E-2</v>
      </c>
      <c r="F111" s="1913">
        <v>0.128</v>
      </c>
    </row>
    <row r="112" spans="1:6" ht="14.25" thickBot="1">
      <c r="A112" s="1341" t="s">
        <v>210</v>
      </c>
      <c r="B112" s="1335" t="s">
        <v>1139</v>
      </c>
      <c r="C112" s="1912">
        <v>0.125</v>
      </c>
      <c r="D112" s="1912">
        <v>0.125</v>
      </c>
      <c r="E112" s="1912">
        <v>0.12</v>
      </c>
      <c r="F112" s="1913">
        <v>0.125</v>
      </c>
    </row>
    <row r="113" spans="1:6" ht="14.25" thickBot="1">
      <c r="A113" s="1341" t="s">
        <v>210</v>
      </c>
      <c r="B113" s="1335" t="s">
        <v>1152</v>
      </c>
      <c r="C113" s="1912">
        <v>0.13</v>
      </c>
      <c r="D113" s="1912">
        <v>0.13</v>
      </c>
      <c r="E113" s="1912">
        <v>0.13</v>
      </c>
      <c r="F113" s="1913">
        <v>0.13</v>
      </c>
    </row>
    <row r="114" spans="1:6" ht="14.25" thickBot="1">
      <c r="A114" s="1341" t="s">
        <v>210</v>
      </c>
      <c r="B114" s="1335" t="s">
        <v>1164</v>
      </c>
      <c r="C114" s="1912">
        <v>0.123</v>
      </c>
      <c r="D114" s="1912">
        <v>0.123</v>
      </c>
      <c r="E114" s="1912">
        <v>0.12</v>
      </c>
      <c r="F114" s="1913">
        <v>0.13</v>
      </c>
    </row>
    <row r="115" spans="1:6" ht="14.25" thickBot="1">
      <c r="A115" s="1341" t="s">
        <v>210</v>
      </c>
      <c r="B115" s="1335" t="s">
        <v>1176</v>
      </c>
      <c r="C115" s="1912">
        <v>0.125</v>
      </c>
      <c r="D115" s="1912">
        <v>0.125</v>
      </c>
      <c r="E115" s="1912">
        <v>0.11700000000000001</v>
      </c>
      <c r="F115" s="1913">
        <v>0.13</v>
      </c>
    </row>
    <row r="116" spans="1:6" ht="14.25" thickBot="1">
      <c r="A116" s="1341" t="s">
        <v>210</v>
      </c>
      <c r="B116" s="1335" t="s">
        <v>1188</v>
      </c>
      <c r="C116" s="1912">
        <v>0.11700000000000001</v>
      </c>
      <c r="D116" s="1912">
        <v>0.11700000000000001</v>
      </c>
      <c r="E116" s="1912">
        <v>8.7999999999999995E-2</v>
      </c>
      <c r="F116" s="1913">
        <v>0.13</v>
      </c>
    </row>
    <row r="117" spans="1:6" ht="14.25" thickBot="1">
      <c r="A117" s="1341" t="s">
        <v>210</v>
      </c>
      <c r="B117" s="1335" t="s">
        <v>1200</v>
      </c>
      <c r="C117" s="1912">
        <v>0.13</v>
      </c>
      <c r="D117" s="1912">
        <v>0.13</v>
      </c>
      <c r="E117" s="1912">
        <v>0.129</v>
      </c>
      <c r="F117" s="1913">
        <v>0.13</v>
      </c>
    </row>
    <row r="118" spans="1:6" ht="14.25" thickBot="1">
      <c r="A118" s="1341" t="s">
        <v>210</v>
      </c>
      <c r="B118" s="1335" t="s">
        <v>1213</v>
      </c>
      <c r="C118" s="1912">
        <v>0.123</v>
      </c>
      <c r="D118" s="1912">
        <v>0.123</v>
      </c>
      <c r="E118" s="1912">
        <v>0.11600000000000001</v>
      </c>
      <c r="F118" s="1913">
        <v>0.13</v>
      </c>
    </row>
    <row r="119" spans="1:6" ht="14.25" thickBot="1">
      <c r="A119" s="1341" t="s">
        <v>210</v>
      </c>
      <c r="B119" s="1335" t="s">
        <v>1224</v>
      </c>
      <c r="C119" s="1912">
        <v>0.127</v>
      </c>
      <c r="D119" s="1912">
        <v>0.127</v>
      </c>
      <c r="E119" s="1912">
        <v>0.124</v>
      </c>
      <c r="F119" s="1913">
        <v>0.13</v>
      </c>
    </row>
    <row r="120" spans="1:6" ht="14.25" thickBot="1">
      <c r="A120" s="1341" t="s">
        <v>210</v>
      </c>
      <c r="B120" s="1335" t="s">
        <v>1235</v>
      </c>
      <c r="C120" s="1912">
        <v>0.125</v>
      </c>
      <c r="D120" s="1912">
        <v>0.125</v>
      </c>
      <c r="E120" s="1912">
        <v>0.122</v>
      </c>
      <c r="F120" s="1913">
        <v>0.13</v>
      </c>
    </row>
    <row r="121" spans="1:6" ht="14.25" thickBot="1">
      <c r="A121" s="1341" t="s">
        <v>210</v>
      </c>
      <c r="B121" s="1335" t="s">
        <v>1246</v>
      </c>
      <c r="C121" s="1912">
        <v>0.13</v>
      </c>
      <c r="D121" s="1912">
        <v>0.13</v>
      </c>
      <c r="E121" s="1912">
        <v>0.13</v>
      </c>
      <c r="F121" s="1913">
        <v>0.13</v>
      </c>
    </row>
    <row r="122" spans="1:6" ht="14.25" thickBot="1">
      <c r="A122" s="1341" t="s">
        <v>210</v>
      </c>
      <c r="B122" s="1335" t="s">
        <v>1257</v>
      </c>
      <c r="C122" s="1912">
        <v>0.13</v>
      </c>
      <c r="D122" s="1912">
        <v>0.13</v>
      </c>
      <c r="E122" s="1912">
        <v>0.125</v>
      </c>
      <c r="F122" s="1913">
        <v>0.13</v>
      </c>
    </row>
    <row r="123" spans="1:6" ht="14.25" thickBot="1">
      <c r="A123" s="1341" t="s">
        <v>210</v>
      </c>
      <c r="B123" s="1335" t="s">
        <v>1268</v>
      </c>
      <c r="C123" s="1912">
        <v>0.129</v>
      </c>
      <c r="D123" s="1912">
        <v>0.129</v>
      </c>
      <c r="E123" s="1912">
        <v>0.123</v>
      </c>
      <c r="F123" s="1913">
        <v>0.13</v>
      </c>
    </row>
    <row r="124" spans="1:6" ht="14.25" thickBot="1">
      <c r="A124" s="1341" t="s">
        <v>210</v>
      </c>
      <c r="B124" s="1335" t="s">
        <v>1279</v>
      </c>
      <c r="C124" s="1912">
        <v>0.10199999999999999</v>
      </c>
      <c r="D124" s="1912">
        <v>0.10100000000000001</v>
      </c>
      <c r="E124" s="1912">
        <v>0.08</v>
      </c>
      <c r="F124" s="1917"/>
    </row>
    <row r="125" spans="1:6" ht="14.25" thickBot="1">
      <c r="A125" s="1341" t="s">
        <v>210</v>
      </c>
      <c r="B125" s="1335" t="s">
        <v>1289</v>
      </c>
      <c r="C125" s="1912">
        <v>0.13</v>
      </c>
      <c r="D125" s="1912">
        <v>0.13</v>
      </c>
      <c r="E125" s="1912">
        <v>0.129</v>
      </c>
      <c r="F125" s="1917"/>
    </row>
    <row r="126" spans="1:6" ht="14.25" thickBot="1">
      <c r="A126" s="1341" t="s">
        <v>210</v>
      </c>
      <c r="B126" s="1335" t="s">
        <v>1299</v>
      </c>
      <c r="C126" s="1912">
        <v>0.13</v>
      </c>
      <c r="D126" s="1912">
        <v>0.13</v>
      </c>
      <c r="E126" s="1912">
        <v>0.126</v>
      </c>
      <c r="F126" s="1917"/>
    </row>
    <row r="127" spans="1:6" ht="14.25" thickBot="1">
      <c r="A127" s="1341" t="s">
        <v>210</v>
      </c>
      <c r="B127" s="1335" t="s">
        <v>1309</v>
      </c>
      <c r="C127" s="1912">
        <v>0.125</v>
      </c>
      <c r="D127" s="1912">
        <v>0.125</v>
      </c>
      <c r="E127" s="1912">
        <v>0.121</v>
      </c>
      <c r="F127" s="1917"/>
    </row>
    <row r="128" spans="1:6" ht="14.25" thickBot="1">
      <c r="A128" s="1341" t="s">
        <v>210</v>
      </c>
      <c r="B128" s="1335" t="s">
        <v>1319</v>
      </c>
      <c r="C128" s="1912">
        <v>0.12</v>
      </c>
      <c r="D128" s="1912">
        <v>0.12</v>
      </c>
      <c r="E128" s="1912">
        <v>0.105</v>
      </c>
      <c r="F128" s="1917"/>
    </row>
    <row r="129" spans="1:6" ht="14.25" thickBot="1">
      <c r="A129" s="1341" t="s">
        <v>210</v>
      </c>
      <c r="B129" s="1335" t="s">
        <v>1328</v>
      </c>
      <c r="C129" s="1912">
        <v>0.13</v>
      </c>
      <c r="D129" s="1912">
        <v>0.13</v>
      </c>
      <c r="E129" s="1912">
        <v>0.126</v>
      </c>
      <c r="F129" s="1917"/>
    </row>
    <row r="130" spans="1:6" ht="14.25" thickBot="1">
      <c r="A130" s="1341" t="s">
        <v>210</v>
      </c>
      <c r="B130" s="1335" t="s">
        <v>1337</v>
      </c>
      <c r="C130" s="1912">
        <v>0.125</v>
      </c>
      <c r="D130" s="1912">
        <v>0.125</v>
      </c>
      <c r="E130" s="1912">
        <v>0.122</v>
      </c>
      <c r="F130" s="1917"/>
    </row>
    <row r="131" spans="1:6" ht="14.25" thickBot="1">
      <c r="A131" s="1341" t="s">
        <v>210</v>
      </c>
      <c r="B131" s="1335" t="s">
        <v>1345</v>
      </c>
      <c r="C131" s="1912">
        <v>0.127</v>
      </c>
      <c r="D131" s="1912">
        <v>0.126</v>
      </c>
      <c r="E131" s="1912">
        <v>0.123</v>
      </c>
      <c r="F131" s="1917"/>
    </row>
    <row r="132" spans="1:6" ht="14.25" thickBot="1">
      <c r="A132" s="1341" t="s">
        <v>210</v>
      </c>
      <c r="B132" s="1335" t="s">
        <v>1352</v>
      </c>
      <c r="C132" s="1912">
        <v>9.0999999999999998E-2</v>
      </c>
      <c r="D132" s="1912">
        <v>0.121</v>
      </c>
      <c r="E132" s="1912">
        <v>9.9000000000000005E-2</v>
      </c>
      <c r="F132" s="1917"/>
    </row>
    <row r="133" spans="1:6" ht="14.25" thickBot="1">
      <c r="A133" s="1341" t="s">
        <v>210</v>
      </c>
      <c r="B133" s="1335" t="s">
        <v>1359</v>
      </c>
      <c r="C133" s="1912">
        <v>0.13</v>
      </c>
      <c r="D133" s="1912">
        <v>0.13</v>
      </c>
      <c r="E133" s="1912">
        <v>0.129</v>
      </c>
      <c r="F133" s="1917"/>
    </row>
    <row r="134" spans="1:6" ht="14.25" thickBot="1">
      <c r="A134" s="1341" t="s">
        <v>210</v>
      </c>
      <c r="B134" s="1335" t="s">
        <v>2047</v>
      </c>
      <c r="C134" s="1912">
        <v>6.8000000000000005E-2</v>
      </c>
      <c r="D134" s="1912">
        <v>6.5000000000000002E-2</v>
      </c>
      <c r="E134" s="1912">
        <v>6.5000000000000002E-2</v>
      </c>
      <c r="F134" s="1913">
        <v>0.13</v>
      </c>
    </row>
    <row r="135" spans="1:6" ht="14.25" thickBot="1">
      <c r="A135" s="1341" t="s">
        <v>210</v>
      </c>
      <c r="B135" s="1335" t="s">
        <v>1373</v>
      </c>
      <c r="C135" s="1912">
        <v>0.123</v>
      </c>
      <c r="D135" s="1912">
        <v>0.123</v>
      </c>
      <c r="E135" s="1912">
        <v>0.11</v>
      </c>
      <c r="F135" s="1917"/>
    </row>
    <row r="136" spans="1:6" ht="14.25" thickBot="1">
      <c r="A136" s="1341" t="s">
        <v>210</v>
      </c>
      <c r="B136" s="1335" t="s">
        <v>1380</v>
      </c>
      <c r="C136" s="1912">
        <v>0.13</v>
      </c>
      <c r="D136" s="1912">
        <v>0.13</v>
      </c>
      <c r="E136" s="1912">
        <v>0.125</v>
      </c>
      <c r="F136" s="1917"/>
    </row>
    <row r="137" spans="1:6" ht="14.25" thickBot="1">
      <c r="A137" s="1341" t="s">
        <v>210</v>
      </c>
      <c r="B137" s="1335" t="s">
        <v>1387</v>
      </c>
      <c r="C137" s="1912">
        <v>0.121</v>
      </c>
      <c r="D137" s="1912">
        <v>0.122</v>
      </c>
      <c r="E137" s="1912">
        <v>0.115</v>
      </c>
      <c r="F137" s="1917"/>
    </row>
    <row r="138" spans="1:6" ht="14.25" thickBot="1">
      <c r="A138" s="1341" t="s">
        <v>210</v>
      </c>
      <c r="B138" s="1335" t="s">
        <v>2048</v>
      </c>
      <c r="C138" s="1912">
        <v>0.105</v>
      </c>
      <c r="D138" s="1912">
        <v>0.125</v>
      </c>
      <c r="E138" s="1912">
        <v>0.112</v>
      </c>
      <c r="F138" s="1917"/>
    </row>
    <row r="139" spans="1:6" ht="14.25" thickBot="1">
      <c r="A139" s="1341" t="s">
        <v>210</v>
      </c>
      <c r="B139" s="1335" t="s">
        <v>2049</v>
      </c>
      <c r="C139" s="1912">
        <v>0.127</v>
      </c>
      <c r="D139" s="1912">
        <v>0.127</v>
      </c>
      <c r="E139" s="1912">
        <v>0.122</v>
      </c>
      <c r="F139" s="1913">
        <v>0.13</v>
      </c>
    </row>
    <row r="140" spans="1:6" ht="14.25" thickBot="1">
      <c r="A140" s="1341" t="s">
        <v>210</v>
      </c>
      <c r="B140" s="1335" t="s">
        <v>2050</v>
      </c>
      <c r="C140" s="1912">
        <v>0.125</v>
      </c>
      <c r="D140" s="1912">
        <v>0.125</v>
      </c>
      <c r="E140" s="1912">
        <v>0.11899999999999999</v>
      </c>
      <c r="F140" s="1913">
        <v>0.13</v>
      </c>
    </row>
    <row r="141" spans="1:6" ht="14.25" thickBot="1">
      <c r="A141" s="1341" t="s">
        <v>210</v>
      </c>
      <c r="B141" s="1335" t="s">
        <v>1406</v>
      </c>
      <c r="C141" s="1912">
        <v>0.125</v>
      </c>
      <c r="D141" s="1912">
        <v>0.125</v>
      </c>
      <c r="E141" s="1912">
        <v>0.11700000000000001</v>
      </c>
      <c r="F141" s="1917"/>
    </row>
    <row r="142" spans="1:6" ht="14.25" thickBot="1">
      <c r="A142" s="1341" t="s">
        <v>210</v>
      </c>
      <c r="B142" s="1335" t="s">
        <v>1411</v>
      </c>
      <c r="C142" s="1912">
        <v>0.125</v>
      </c>
      <c r="D142" s="1912">
        <v>0.125</v>
      </c>
      <c r="E142" s="1912">
        <v>0.115</v>
      </c>
      <c r="F142" s="1917"/>
    </row>
    <row r="143" spans="1:6" ht="14.25" thickBot="1">
      <c r="A143" s="1341" t="s">
        <v>210</v>
      </c>
      <c r="B143" s="1335" t="s">
        <v>1416</v>
      </c>
      <c r="C143" s="1912">
        <v>0.121</v>
      </c>
      <c r="D143" s="1912">
        <v>0.121</v>
      </c>
      <c r="E143" s="1912">
        <v>0.108</v>
      </c>
      <c r="F143" s="1917"/>
    </row>
    <row r="144" spans="1:6" ht="14.25" thickBot="1">
      <c r="A144" s="1341" t="s">
        <v>210</v>
      </c>
      <c r="B144" s="1920" t="s">
        <v>2051</v>
      </c>
      <c r="C144" s="1921">
        <v>0.126</v>
      </c>
      <c r="D144" s="1921">
        <v>0.126</v>
      </c>
      <c r="E144" s="1921">
        <v>0.121</v>
      </c>
      <c r="F144" s="1917"/>
    </row>
    <row r="145" spans="1:6" ht="14.25" thickBot="1">
      <c r="A145" s="1358" t="s">
        <v>210</v>
      </c>
      <c r="B145" s="1922" t="s">
        <v>2052</v>
      </c>
      <c r="C145" s="1923"/>
      <c r="D145" s="1923"/>
      <c r="E145" s="1923"/>
      <c r="F145" s="1924">
        <v>0.05</v>
      </c>
    </row>
    <row r="146" spans="1:6" ht="24.75" thickBot="1">
      <c r="A146" s="1925" t="s">
        <v>210</v>
      </c>
      <c r="B146" s="1349" t="s">
        <v>2053</v>
      </c>
      <c r="C146" s="1918"/>
      <c r="D146" s="1918"/>
      <c r="E146" s="1918"/>
      <c r="F146" s="1926">
        <v>0.05</v>
      </c>
    </row>
    <row r="147" spans="1:6" ht="24.75" thickBot="1">
      <c r="A147" s="1341" t="s">
        <v>210</v>
      </c>
      <c r="B147" s="1335" t="s">
        <v>2054</v>
      </c>
      <c r="C147" s="1918"/>
      <c r="D147" s="1918"/>
      <c r="E147" s="1918"/>
      <c r="F147" s="1913">
        <v>0.05</v>
      </c>
    </row>
    <row r="148" spans="1:6" ht="24.75" thickBot="1">
      <c r="A148" s="1341" t="s">
        <v>210</v>
      </c>
      <c r="B148" s="1335" t="s">
        <v>2055</v>
      </c>
      <c r="C148" s="1918"/>
      <c r="D148" s="1918"/>
      <c r="E148" s="1918"/>
      <c r="F148" s="1913">
        <v>0.05</v>
      </c>
    </row>
    <row r="149" spans="1:6" ht="24.75" thickBot="1">
      <c r="A149" s="1341" t="s">
        <v>210</v>
      </c>
      <c r="B149" s="1335" t="s">
        <v>2056</v>
      </c>
      <c r="C149" s="1918"/>
      <c r="D149" s="1918"/>
      <c r="E149" s="1918"/>
      <c r="F149" s="1913">
        <v>0.05</v>
      </c>
    </row>
    <row r="150" spans="1:6" ht="24.75" thickBot="1">
      <c r="A150" s="1341" t="s">
        <v>210</v>
      </c>
      <c r="B150" s="1335" t="s">
        <v>2057</v>
      </c>
      <c r="C150" s="1918"/>
      <c r="D150" s="1918"/>
      <c r="E150" s="1918"/>
      <c r="F150" s="1913">
        <v>0.05</v>
      </c>
    </row>
    <row r="151" spans="1:6" ht="24.75" thickBot="1">
      <c r="A151" s="1341" t="s">
        <v>210</v>
      </c>
      <c r="B151" s="1335" t="s">
        <v>2058</v>
      </c>
      <c r="C151" s="1918"/>
      <c r="D151" s="1918"/>
      <c r="E151" s="1918"/>
      <c r="F151" s="1913">
        <v>0.05</v>
      </c>
    </row>
    <row r="152" spans="1:6" ht="24.75" thickBot="1">
      <c r="A152" s="1341" t="s">
        <v>210</v>
      </c>
      <c r="B152" s="1335" t="s">
        <v>1449</v>
      </c>
      <c r="C152" s="1918"/>
      <c r="D152" s="1918"/>
      <c r="E152" s="1918"/>
      <c r="F152" s="1913">
        <v>0.05</v>
      </c>
    </row>
    <row r="153" spans="1:6" ht="14.25" thickBot="1">
      <c r="A153" s="1341" t="s">
        <v>210</v>
      </c>
      <c r="B153" s="1335" t="s">
        <v>2059</v>
      </c>
      <c r="C153" s="1918"/>
      <c r="D153" s="1918"/>
      <c r="E153" s="1918"/>
      <c r="F153" s="1913">
        <v>0.05</v>
      </c>
    </row>
    <row r="154" spans="1:6" ht="14.25" thickBot="1">
      <c r="A154" s="1341" t="s">
        <v>210</v>
      </c>
      <c r="B154" s="1335" t="s">
        <v>2060</v>
      </c>
      <c r="C154" s="1918"/>
      <c r="D154" s="1918"/>
      <c r="E154" s="1918"/>
      <c r="F154" s="1913">
        <v>0.05</v>
      </c>
    </row>
    <row r="155" spans="1:6" ht="24.75" thickBot="1">
      <c r="A155" s="1341" t="s">
        <v>210</v>
      </c>
      <c r="B155" s="1335" t="s">
        <v>2061</v>
      </c>
      <c r="C155" s="1918"/>
      <c r="D155" s="1918"/>
      <c r="E155" s="1918"/>
      <c r="F155" s="1913">
        <v>0.05</v>
      </c>
    </row>
    <row r="156" spans="1:6" ht="24.75" thickBot="1">
      <c r="A156" s="1341" t="s">
        <v>210</v>
      </c>
      <c r="B156" s="1335" t="s">
        <v>2062</v>
      </c>
      <c r="C156" s="1918"/>
      <c r="D156" s="1918"/>
      <c r="E156" s="1918"/>
      <c r="F156" s="1913">
        <v>0.05</v>
      </c>
    </row>
    <row r="157" spans="1:6" ht="14.25" thickBot="1">
      <c r="A157" s="1358" t="s">
        <v>210</v>
      </c>
      <c r="B157" s="1351" t="s">
        <v>2063</v>
      </c>
      <c r="C157" s="1915"/>
      <c r="D157" s="1915"/>
      <c r="E157" s="1915"/>
      <c r="F157" s="1919">
        <v>0.05</v>
      </c>
    </row>
    <row r="158" spans="1:6" ht="14.25" thickBot="1">
      <c r="A158" s="1341" t="s">
        <v>1468</v>
      </c>
      <c r="B158" s="1342" t="s">
        <v>2064</v>
      </c>
      <c r="C158" s="1910">
        <v>0.13</v>
      </c>
      <c r="D158" s="1910">
        <v>0.13</v>
      </c>
      <c r="E158" s="1910">
        <v>0.13</v>
      </c>
      <c r="F158" s="1911">
        <v>0.13</v>
      </c>
    </row>
    <row r="159" spans="1:6" ht="14.25" thickBot="1">
      <c r="A159" s="1341" t="s">
        <v>1468</v>
      </c>
      <c r="B159" s="1335" t="s">
        <v>1127</v>
      </c>
      <c r="C159" s="1912">
        <v>0.13</v>
      </c>
      <c r="D159" s="1912">
        <v>0.13</v>
      </c>
      <c r="E159" s="1912">
        <v>0.13</v>
      </c>
      <c r="F159" s="1913">
        <v>0.13</v>
      </c>
    </row>
    <row r="160" spans="1:6" ht="14.25" thickBot="1">
      <c r="A160" s="1341" t="s">
        <v>1468</v>
      </c>
      <c r="B160" s="1335" t="s">
        <v>1140</v>
      </c>
      <c r="C160" s="1912">
        <v>0.13</v>
      </c>
      <c r="D160" s="1912">
        <v>0.13</v>
      </c>
      <c r="E160" s="1912">
        <v>0.129</v>
      </c>
      <c r="F160" s="1913">
        <v>0.13</v>
      </c>
    </row>
    <row r="161" spans="1:6" ht="14.25" thickBot="1">
      <c r="A161" s="1341" t="s">
        <v>1468</v>
      </c>
      <c r="B161" s="1335" t="s">
        <v>1153</v>
      </c>
      <c r="C161" s="1912">
        <v>0.128</v>
      </c>
      <c r="D161" s="1912">
        <v>0.128</v>
      </c>
      <c r="E161" s="1912">
        <v>0.125</v>
      </c>
      <c r="F161" s="1913">
        <v>0.13</v>
      </c>
    </row>
    <row r="162" spans="1:6" ht="14.25" thickBot="1">
      <c r="A162" s="1341" t="s">
        <v>1468</v>
      </c>
      <c r="B162" s="1335" t="s">
        <v>1165</v>
      </c>
      <c r="C162" s="1912">
        <v>0.122</v>
      </c>
      <c r="D162" s="1912">
        <v>0.122</v>
      </c>
      <c r="E162" s="1912">
        <v>0.126</v>
      </c>
      <c r="F162" s="1913">
        <v>0.122</v>
      </c>
    </row>
    <row r="163" spans="1:6" ht="14.25" thickBot="1">
      <c r="A163" s="1341" t="s">
        <v>1468</v>
      </c>
      <c r="B163" s="1335" t="s">
        <v>1177</v>
      </c>
      <c r="C163" s="1912">
        <v>0.13</v>
      </c>
      <c r="D163" s="1912">
        <v>0.13</v>
      </c>
      <c r="E163" s="1912">
        <v>0.125</v>
      </c>
      <c r="F163" s="1913">
        <v>0.13</v>
      </c>
    </row>
    <row r="164" spans="1:6" ht="14.25" thickBot="1">
      <c r="A164" s="1341" t="s">
        <v>1468</v>
      </c>
      <c r="B164" s="1335" t="s">
        <v>1189</v>
      </c>
      <c r="C164" s="1912">
        <v>0.13</v>
      </c>
      <c r="D164" s="1912">
        <v>0.13</v>
      </c>
      <c r="E164" s="1912">
        <v>0.13</v>
      </c>
      <c r="F164" s="1913">
        <v>0.13</v>
      </c>
    </row>
    <row r="165" spans="1:6" ht="14.25" thickBot="1">
      <c r="A165" s="1341" t="s">
        <v>1468</v>
      </c>
      <c r="B165" s="1335" t="s">
        <v>1201</v>
      </c>
      <c r="C165" s="1912">
        <v>0.13</v>
      </c>
      <c r="D165" s="1912">
        <v>0.13</v>
      </c>
      <c r="E165" s="1912">
        <v>0.124</v>
      </c>
      <c r="F165" s="1913">
        <v>0.13</v>
      </c>
    </row>
    <row r="166" spans="1:6" ht="14.25" thickBot="1">
      <c r="A166" s="1341" t="s">
        <v>1468</v>
      </c>
      <c r="B166" s="1335" t="s">
        <v>1214</v>
      </c>
      <c r="C166" s="1912">
        <v>0.13</v>
      </c>
      <c r="D166" s="1912">
        <v>0.13</v>
      </c>
      <c r="E166" s="1912">
        <v>0.13</v>
      </c>
      <c r="F166" s="1913">
        <v>0.13</v>
      </c>
    </row>
    <row r="167" spans="1:6" ht="14.25" thickBot="1">
      <c r="A167" s="1341" t="s">
        <v>1468</v>
      </c>
      <c r="B167" s="1335" t="s">
        <v>1225</v>
      </c>
      <c r="C167" s="1912">
        <v>0.125</v>
      </c>
      <c r="D167" s="1912">
        <v>0.125</v>
      </c>
      <c r="E167" s="1912">
        <v>0.121</v>
      </c>
      <c r="F167" s="1917"/>
    </row>
    <row r="168" spans="1:6" ht="14.25" thickBot="1">
      <c r="A168" s="1341" t="s">
        <v>1468</v>
      </c>
      <c r="B168" s="1335" t="s">
        <v>1236</v>
      </c>
      <c r="C168" s="1912">
        <v>0.13</v>
      </c>
      <c r="D168" s="1912">
        <v>0.13</v>
      </c>
      <c r="E168" s="1912">
        <v>0.126</v>
      </c>
      <c r="F168" s="1917"/>
    </row>
    <row r="169" spans="1:6" ht="14.25" thickBot="1">
      <c r="A169" s="1341" t="s">
        <v>1468</v>
      </c>
      <c r="B169" s="1335" t="s">
        <v>1247</v>
      </c>
      <c r="C169" s="1912">
        <v>0.128</v>
      </c>
      <c r="D169" s="1912">
        <v>0.129</v>
      </c>
      <c r="E169" s="1912">
        <v>0.13</v>
      </c>
      <c r="F169" s="1917"/>
    </row>
    <row r="170" spans="1:6" ht="14.25" thickBot="1">
      <c r="A170" s="1341" t="s">
        <v>1468</v>
      </c>
      <c r="B170" s="1335" t="s">
        <v>1258</v>
      </c>
      <c r="C170" s="1912">
        <v>0.14099999999999999</v>
      </c>
      <c r="D170" s="1912">
        <v>0.13</v>
      </c>
      <c r="E170" s="1912">
        <v>0.125</v>
      </c>
      <c r="F170" s="1917"/>
    </row>
    <row r="171" spans="1:6" ht="14.25" thickBot="1">
      <c r="A171" s="1341" t="s">
        <v>1468</v>
      </c>
      <c r="B171" s="1335" t="s">
        <v>2065</v>
      </c>
      <c r="C171" s="1912">
        <v>0.127</v>
      </c>
      <c r="D171" s="1912">
        <v>0.126</v>
      </c>
      <c r="E171" s="1912">
        <v>0.126</v>
      </c>
      <c r="F171" s="1913">
        <v>0.11799999999999999</v>
      </c>
    </row>
    <row r="172" spans="1:6" ht="14.25" thickBot="1">
      <c r="A172" s="1341" t="s">
        <v>1468</v>
      </c>
      <c r="B172" s="1335" t="s">
        <v>2066</v>
      </c>
      <c r="C172" s="1912">
        <v>0.13</v>
      </c>
      <c r="D172" s="1912">
        <v>0.13</v>
      </c>
      <c r="E172" s="1912">
        <v>0.13</v>
      </c>
      <c r="F172" s="1917"/>
    </row>
    <row r="173" spans="1:6" ht="14.25" thickBot="1">
      <c r="A173" s="1341" t="s">
        <v>1468</v>
      </c>
      <c r="B173" s="1335" t="s">
        <v>1290</v>
      </c>
      <c r="C173" s="1912">
        <v>0.13</v>
      </c>
      <c r="D173" s="1912">
        <v>0.13</v>
      </c>
      <c r="E173" s="1912">
        <v>0.13</v>
      </c>
      <c r="F173" s="1917"/>
    </row>
    <row r="174" spans="1:6" ht="14.25" thickBot="1">
      <c r="A174" s="1341" t="s">
        <v>1468</v>
      </c>
      <c r="B174" s="1335" t="s">
        <v>2067</v>
      </c>
      <c r="C174" s="1912">
        <v>0.13</v>
      </c>
      <c r="D174" s="1912">
        <v>0.13</v>
      </c>
      <c r="E174" s="1912">
        <v>0.13</v>
      </c>
      <c r="F174" s="1913">
        <v>0.13</v>
      </c>
    </row>
    <row r="175" spans="1:6" ht="14.25" thickBot="1">
      <c r="A175" s="1341" t="s">
        <v>1468</v>
      </c>
      <c r="B175" s="1335" t="s">
        <v>2068</v>
      </c>
      <c r="C175" s="1912">
        <v>0.13</v>
      </c>
      <c r="D175" s="1912">
        <v>0.13</v>
      </c>
      <c r="E175" s="1912">
        <v>0.13</v>
      </c>
      <c r="F175" s="1913">
        <v>0.13</v>
      </c>
    </row>
    <row r="176" spans="1:6" ht="14.25" thickBot="1">
      <c r="A176" s="1341" t="s">
        <v>1468</v>
      </c>
      <c r="B176" s="1335" t="s">
        <v>1320</v>
      </c>
      <c r="C176" s="1912">
        <v>0.13</v>
      </c>
      <c r="D176" s="1912">
        <v>0.13</v>
      </c>
      <c r="E176" s="1912">
        <v>0.13</v>
      </c>
      <c r="F176" s="1913">
        <v>0.13</v>
      </c>
    </row>
    <row r="177" spans="1:6" ht="14.25" thickBot="1">
      <c r="A177" s="1341" t="s">
        <v>1468</v>
      </c>
      <c r="B177" s="1335" t="s">
        <v>2069</v>
      </c>
      <c r="C177" s="1912">
        <v>0.13</v>
      </c>
      <c r="D177" s="1912">
        <v>0.13</v>
      </c>
      <c r="E177" s="1912">
        <v>0.13</v>
      </c>
      <c r="F177" s="1913">
        <v>0.13</v>
      </c>
    </row>
    <row r="178" spans="1:6" ht="14.25" thickBot="1">
      <c r="A178" s="1341" t="s">
        <v>1468</v>
      </c>
      <c r="B178" s="1335" t="s">
        <v>1338</v>
      </c>
      <c r="C178" s="1912">
        <v>0.13</v>
      </c>
      <c r="D178" s="1912">
        <v>0.13</v>
      </c>
      <c r="E178" s="1912">
        <v>0.13</v>
      </c>
      <c r="F178" s="1913">
        <v>0.127</v>
      </c>
    </row>
    <row r="179" spans="1:6" ht="14.25" thickBot="1">
      <c r="A179" s="1341" t="s">
        <v>1468</v>
      </c>
      <c r="B179" s="1335" t="s">
        <v>1346</v>
      </c>
      <c r="C179" s="1912">
        <v>0.13</v>
      </c>
      <c r="D179" s="1912">
        <v>0.13</v>
      </c>
      <c r="E179" s="1912">
        <v>0.13</v>
      </c>
      <c r="F179" s="1917"/>
    </row>
    <row r="180" spans="1:6" ht="14.25" thickBot="1">
      <c r="A180" s="1341" t="s">
        <v>1468</v>
      </c>
      <c r="B180" s="1335" t="s">
        <v>2070</v>
      </c>
      <c r="C180" s="1912">
        <v>0.13</v>
      </c>
      <c r="D180" s="1912">
        <v>0.13</v>
      </c>
      <c r="E180" s="1912">
        <v>0.125</v>
      </c>
      <c r="F180" s="1913">
        <v>0.13</v>
      </c>
    </row>
    <row r="181" spans="1:6" ht="14.25" thickBot="1">
      <c r="A181" s="1341" t="s">
        <v>1468</v>
      </c>
      <c r="B181" s="1335" t="s">
        <v>1360</v>
      </c>
      <c r="C181" s="1912">
        <v>0.122</v>
      </c>
      <c r="D181" s="1912">
        <v>0.123</v>
      </c>
      <c r="E181" s="1912">
        <v>0.126</v>
      </c>
      <c r="F181" s="1913">
        <v>0.121</v>
      </c>
    </row>
    <row r="182" spans="1:6" ht="14.25" thickBot="1">
      <c r="A182" s="1341" t="s">
        <v>1468</v>
      </c>
      <c r="B182" s="1335" t="s">
        <v>1367</v>
      </c>
      <c r="C182" s="1912">
        <v>0.125</v>
      </c>
      <c r="D182" s="1912">
        <v>0.125</v>
      </c>
      <c r="E182" s="1912">
        <v>0.11700000000000001</v>
      </c>
      <c r="F182" s="1913">
        <v>0.13</v>
      </c>
    </row>
    <row r="183" spans="1:6" ht="14.25" thickBot="1">
      <c r="A183" s="1341" t="s">
        <v>1468</v>
      </c>
      <c r="B183" s="1335" t="s">
        <v>1374</v>
      </c>
      <c r="C183" s="1912">
        <v>0.127</v>
      </c>
      <c r="D183" s="1912">
        <v>0.127</v>
      </c>
      <c r="E183" s="1912">
        <v>0.128</v>
      </c>
      <c r="F183" s="1917"/>
    </row>
    <row r="184" spans="1:6" ht="14.25" thickBot="1">
      <c r="A184" s="1341" t="s">
        <v>1468</v>
      </c>
      <c r="B184" s="1335" t="s">
        <v>1381</v>
      </c>
      <c r="C184" s="1912">
        <v>0.125</v>
      </c>
      <c r="D184" s="1912">
        <v>0.125</v>
      </c>
      <c r="E184" s="1912">
        <v>0.127</v>
      </c>
      <c r="F184" s="1917"/>
    </row>
    <row r="185" spans="1:6" ht="14.25" thickBot="1">
      <c r="A185" s="1341" t="s">
        <v>1468</v>
      </c>
      <c r="B185" s="1335" t="s">
        <v>2071</v>
      </c>
      <c r="C185" s="1912">
        <v>0.127</v>
      </c>
      <c r="D185" s="1912">
        <v>0.127</v>
      </c>
      <c r="E185" s="1912">
        <v>0.128</v>
      </c>
      <c r="F185" s="1913">
        <v>0.13</v>
      </c>
    </row>
    <row r="186" spans="1:6" ht="24.75" thickBot="1">
      <c r="A186" s="1341" t="s">
        <v>1468</v>
      </c>
      <c r="B186" s="1335" t="s">
        <v>2072</v>
      </c>
      <c r="C186" s="1918"/>
      <c r="D186" s="1918"/>
      <c r="E186" s="1918"/>
      <c r="F186" s="1913">
        <v>0.05</v>
      </c>
    </row>
    <row r="187" spans="1:6" ht="14.25" thickBot="1">
      <c r="A187" s="1341" t="s">
        <v>1468</v>
      </c>
      <c r="B187" s="1335" t="s">
        <v>2073</v>
      </c>
      <c r="C187" s="1918"/>
      <c r="D187" s="1918"/>
      <c r="E187" s="1918"/>
      <c r="F187" s="1913">
        <v>0.05</v>
      </c>
    </row>
    <row r="188" spans="1:6" ht="14.25" thickBot="1">
      <c r="A188" s="1341" t="s">
        <v>1468</v>
      </c>
      <c r="B188" s="1335" t="s">
        <v>2074</v>
      </c>
      <c r="C188" s="1918"/>
      <c r="D188" s="1918"/>
      <c r="E188" s="1918"/>
      <c r="F188" s="1913">
        <v>0.05</v>
      </c>
    </row>
    <row r="189" spans="1:6" ht="24.75" thickBot="1">
      <c r="A189" s="1341" t="s">
        <v>1468</v>
      </c>
      <c r="B189" s="1335" t="s">
        <v>2075</v>
      </c>
      <c r="C189" s="1918"/>
      <c r="D189" s="1918"/>
      <c r="E189" s="1918"/>
      <c r="F189" s="1913">
        <v>0.05</v>
      </c>
    </row>
    <row r="190" spans="1:6" ht="24.75" thickBot="1">
      <c r="A190" s="1341" t="s">
        <v>1468</v>
      </c>
      <c r="B190" s="1335" t="s">
        <v>2076</v>
      </c>
      <c r="C190" s="1918"/>
      <c r="D190" s="1918"/>
      <c r="E190" s="1918"/>
      <c r="F190" s="1913">
        <v>0.05</v>
      </c>
    </row>
    <row r="191" spans="1:6" ht="24.75" thickBot="1">
      <c r="A191" s="1341" t="s">
        <v>1468</v>
      </c>
      <c r="B191" s="1335" t="s">
        <v>2077</v>
      </c>
      <c r="C191" s="1918"/>
      <c r="D191" s="1918"/>
      <c r="E191" s="1918"/>
      <c r="F191" s="1913">
        <v>0.05</v>
      </c>
    </row>
    <row r="192" spans="1:6" ht="24.75" thickBot="1">
      <c r="A192" s="1341" t="s">
        <v>1468</v>
      </c>
      <c r="B192" s="1335" t="s">
        <v>2078</v>
      </c>
      <c r="C192" s="1918"/>
      <c r="D192" s="1918"/>
      <c r="E192" s="1918"/>
      <c r="F192" s="1913">
        <v>0.05</v>
      </c>
    </row>
    <row r="193" spans="1:6" ht="24.75" thickBot="1">
      <c r="A193" s="1341" t="s">
        <v>1468</v>
      </c>
      <c r="B193" s="1335" t="s">
        <v>2079</v>
      </c>
      <c r="C193" s="1918"/>
      <c r="D193" s="1918"/>
      <c r="E193" s="1918"/>
      <c r="F193" s="1913">
        <v>0.05</v>
      </c>
    </row>
    <row r="194" spans="1:6" ht="24.75" thickBot="1">
      <c r="A194" s="1341" t="s">
        <v>1468</v>
      </c>
      <c r="B194" s="1335" t="s">
        <v>2080</v>
      </c>
      <c r="C194" s="1918"/>
      <c r="D194" s="1918"/>
      <c r="E194" s="1918"/>
      <c r="F194" s="1913">
        <v>0.05</v>
      </c>
    </row>
    <row r="195" spans="1:6" ht="14.25" thickBot="1">
      <c r="A195" s="1341" t="s">
        <v>1468</v>
      </c>
      <c r="B195" s="1335" t="s">
        <v>2081</v>
      </c>
      <c r="C195" s="1918"/>
      <c r="D195" s="1918"/>
      <c r="E195" s="1918"/>
      <c r="F195" s="1913">
        <v>0.05</v>
      </c>
    </row>
    <row r="196" spans="1:6" ht="24.75" thickBot="1">
      <c r="A196" s="1341" t="s">
        <v>1468</v>
      </c>
      <c r="B196" s="1335" t="s">
        <v>2082</v>
      </c>
      <c r="C196" s="1918"/>
      <c r="D196" s="1918"/>
      <c r="E196" s="1918"/>
      <c r="F196" s="1913">
        <v>0.05</v>
      </c>
    </row>
    <row r="197" spans="1:6" ht="24.75" thickBot="1">
      <c r="A197" s="1341" t="s">
        <v>1468</v>
      </c>
      <c r="B197" s="1335" t="s">
        <v>2083</v>
      </c>
      <c r="C197" s="1918"/>
      <c r="D197" s="1918"/>
      <c r="E197" s="1918"/>
      <c r="F197" s="1913">
        <v>0.05</v>
      </c>
    </row>
    <row r="198" spans="1:6" ht="24.75" thickBot="1">
      <c r="A198" s="1341" t="s">
        <v>1468</v>
      </c>
      <c r="B198" s="1335" t="s">
        <v>2084</v>
      </c>
      <c r="C198" s="1918"/>
      <c r="D198" s="1918"/>
      <c r="E198" s="1918"/>
      <c r="F198" s="1913">
        <v>0.05</v>
      </c>
    </row>
    <row r="199" spans="1:6" ht="24.75" thickBot="1">
      <c r="A199" s="1341" t="s">
        <v>1468</v>
      </c>
      <c r="B199" s="1335" t="s">
        <v>2085</v>
      </c>
      <c r="C199" s="1918"/>
      <c r="D199" s="1918"/>
      <c r="E199" s="1918"/>
      <c r="F199" s="1913">
        <v>0.05</v>
      </c>
    </row>
    <row r="200" spans="1:6" ht="24.75" thickBot="1">
      <c r="A200" s="1341" t="s">
        <v>1468</v>
      </c>
      <c r="B200" s="1335" t="s">
        <v>2086</v>
      </c>
      <c r="C200" s="1918"/>
      <c r="D200" s="1918"/>
      <c r="E200" s="1918"/>
      <c r="F200" s="1913">
        <v>0.05</v>
      </c>
    </row>
    <row r="201" spans="1:6" ht="24.75" thickBot="1">
      <c r="A201" s="1341" t="s">
        <v>1468</v>
      </c>
      <c r="B201" s="1335" t="s">
        <v>2087</v>
      </c>
      <c r="C201" s="1918"/>
      <c r="D201" s="1918"/>
      <c r="E201" s="1918"/>
      <c r="F201" s="1913">
        <v>0.05</v>
      </c>
    </row>
    <row r="202" spans="1:6" ht="24.75" thickBot="1">
      <c r="A202" s="1341" t="s">
        <v>1468</v>
      </c>
      <c r="B202" s="1335" t="s">
        <v>2088</v>
      </c>
      <c r="C202" s="1918"/>
      <c r="D202" s="1918"/>
      <c r="E202" s="1918"/>
      <c r="F202" s="1913">
        <v>0.05</v>
      </c>
    </row>
    <row r="203" spans="1:6" ht="24.75" thickBot="1">
      <c r="A203" s="1341" t="s">
        <v>1468</v>
      </c>
      <c r="B203" s="1335" t="s">
        <v>2089</v>
      </c>
      <c r="C203" s="1918"/>
      <c r="D203" s="1918"/>
      <c r="E203" s="1918"/>
      <c r="F203" s="1913">
        <v>0.05</v>
      </c>
    </row>
    <row r="204" spans="1:6" ht="14.25" thickBot="1">
      <c r="A204" s="1341" t="s">
        <v>1468</v>
      </c>
      <c r="B204" s="1335" t="s">
        <v>2090</v>
      </c>
      <c r="C204" s="1918"/>
      <c r="D204" s="1918"/>
      <c r="E204" s="1918"/>
      <c r="F204" s="1913">
        <v>0.05</v>
      </c>
    </row>
    <row r="205" spans="1:6" ht="14.25" thickBot="1">
      <c r="A205" s="1358" t="s">
        <v>1468</v>
      </c>
      <c r="B205" s="1351" t="s">
        <v>2091</v>
      </c>
      <c r="C205" s="1915"/>
      <c r="D205" s="1915"/>
      <c r="E205" s="1915"/>
      <c r="F205" s="1919">
        <v>0.05</v>
      </c>
    </row>
    <row r="206" spans="1:6" ht="14.25" thickBot="1">
      <c r="A206" s="1341" t="s">
        <v>1470</v>
      </c>
      <c r="B206" s="1342" t="s">
        <v>2092</v>
      </c>
      <c r="C206" s="1910">
        <v>0.15</v>
      </c>
      <c r="D206" s="1910">
        <v>0.15</v>
      </c>
      <c r="E206" s="1910">
        <v>0.15</v>
      </c>
      <c r="F206" s="1911">
        <v>0.15</v>
      </c>
    </row>
    <row r="207" spans="1:6" ht="14.25" thickBot="1">
      <c r="A207" s="1341" t="s">
        <v>1470</v>
      </c>
      <c r="B207" s="1335" t="s">
        <v>1128</v>
      </c>
      <c r="C207" s="1912">
        <v>0.15</v>
      </c>
      <c r="D207" s="1912">
        <v>0.15</v>
      </c>
      <c r="E207" s="1912">
        <v>0.15</v>
      </c>
      <c r="F207" s="1913">
        <v>0.14399999999999999</v>
      </c>
    </row>
    <row r="208" spans="1:6" ht="14.25" thickBot="1">
      <c r="A208" s="1341" t="s">
        <v>1470</v>
      </c>
      <c r="B208" s="1335" t="s">
        <v>1141</v>
      </c>
      <c r="C208" s="1912">
        <v>0.15</v>
      </c>
      <c r="D208" s="1912">
        <v>0.15</v>
      </c>
      <c r="E208" s="1912">
        <v>0.15</v>
      </c>
      <c r="F208" s="1913">
        <v>0.15</v>
      </c>
    </row>
    <row r="209" spans="1:6" ht="14.25" thickBot="1">
      <c r="A209" s="1341" t="s">
        <v>1470</v>
      </c>
      <c r="B209" s="1335" t="s">
        <v>1154</v>
      </c>
      <c r="C209" s="1912">
        <v>0.13700000000000001</v>
      </c>
      <c r="D209" s="1912">
        <v>0.13700000000000001</v>
      </c>
      <c r="E209" s="1912">
        <v>0.14000000000000001</v>
      </c>
      <c r="F209" s="1913">
        <v>0.11700000000000001</v>
      </c>
    </row>
    <row r="210" spans="1:6" ht="14.25" thickBot="1">
      <c r="A210" s="1341" t="s">
        <v>1470</v>
      </c>
      <c r="B210" s="1335" t="s">
        <v>2093</v>
      </c>
      <c r="C210" s="1912">
        <v>0.15</v>
      </c>
      <c r="D210" s="1912">
        <v>0.15</v>
      </c>
      <c r="E210" s="1912">
        <v>0.15</v>
      </c>
      <c r="F210" s="1913">
        <v>0.13800000000000001</v>
      </c>
    </row>
    <row r="211" spans="1:6" ht="14.25" thickBot="1">
      <c r="A211" s="1341" t="s">
        <v>1470</v>
      </c>
      <c r="B211" s="1335" t="s">
        <v>2094</v>
      </c>
      <c r="C211" s="1912">
        <v>0.13700000000000001</v>
      </c>
      <c r="D211" s="1912">
        <v>0.13500000000000001</v>
      </c>
      <c r="E211" s="1912">
        <v>0.13600000000000001</v>
      </c>
      <c r="F211" s="1913">
        <v>0.1</v>
      </c>
    </row>
    <row r="212" spans="1:6" ht="14.25" thickBot="1">
      <c r="A212" s="1341" t="s">
        <v>1470</v>
      </c>
      <c r="B212" s="1335" t="s">
        <v>2095</v>
      </c>
      <c r="C212" s="1912">
        <v>0.15</v>
      </c>
      <c r="D212" s="1912">
        <v>0.15</v>
      </c>
      <c r="E212" s="1912">
        <v>0.14799999999999999</v>
      </c>
      <c r="F212" s="1913">
        <v>0.13600000000000001</v>
      </c>
    </row>
    <row r="213" spans="1:6" ht="14.25" thickBot="1">
      <c r="A213" s="1341" t="s">
        <v>1470</v>
      </c>
      <c r="B213" s="1335" t="s">
        <v>1202</v>
      </c>
      <c r="C213" s="1912">
        <v>0.15</v>
      </c>
      <c r="D213" s="1912">
        <v>0.15</v>
      </c>
      <c r="E213" s="1912">
        <v>0.15</v>
      </c>
      <c r="F213" s="1913">
        <v>0.13800000000000001</v>
      </c>
    </row>
    <row r="214" spans="1:6" ht="14.25" thickBot="1">
      <c r="A214" s="1341" t="s">
        <v>1470</v>
      </c>
      <c r="B214" s="1335" t="s">
        <v>1215</v>
      </c>
      <c r="C214" s="1912">
        <v>9.0999999999999998E-2</v>
      </c>
      <c r="D214" s="1912">
        <v>0.09</v>
      </c>
      <c r="E214" s="1912">
        <v>9.1999999999999998E-2</v>
      </c>
      <c r="F214" s="1917"/>
    </row>
    <row r="215" spans="1:6" ht="14.25" thickBot="1">
      <c r="A215" s="1341" t="s">
        <v>1470</v>
      </c>
      <c r="B215" s="1335" t="s">
        <v>2096</v>
      </c>
      <c r="C215" s="1912">
        <v>0.15</v>
      </c>
      <c r="D215" s="1912">
        <v>0.15</v>
      </c>
      <c r="E215" s="1912">
        <v>0.15</v>
      </c>
      <c r="F215" s="1913">
        <v>0.15</v>
      </c>
    </row>
    <row r="216" spans="1:6" ht="14.25" thickBot="1">
      <c r="A216" s="1341" t="s">
        <v>1470</v>
      </c>
      <c r="B216" s="1335" t="s">
        <v>1237</v>
      </c>
      <c r="C216" s="1912">
        <v>0.14699999999999999</v>
      </c>
      <c r="D216" s="1912">
        <v>0.14699999999999999</v>
      </c>
      <c r="E216" s="1912">
        <v>0.15</v>
      </c>
      <c r="F216" s="1913">
        <v>0.14000000000000001</v>
      </c>
    </row>
    <row r="217" spans="1:6" ht="14.25" thickBot="1">
      <c r="A217" s="1341" t="s">
        <v>1470</v>
      </c>
      <c r="B217" s="1335" t="s">
        <v>1248</v>
      </c>
      <c r="C217" s="1912">
        <v>0.15</v>
      </c>
      <c r="D217" s="1912">
        <v>0.15</v>
      </c>
      <c r="E217" s="1912">
        <v>0.15</v>
      </c>
      <c r="F217" s="1913">
        <v>0.15</v>
      </c>
    </row>
    <row r="218" spans="1:6" ht="14.25" thickBot="1">
      <c r="A218" s="1341" t="s">
        <v>1470</v>
      </c>
      <c r="B218" s="1335" t="s">
        <v>2097</v>
      </c>
      <c r="C218" s="1912">
        <v>0.15</v>
      </c>
      <c r="D218" s="1912">
        <v>0.15</v>
      </c>
      <c r="E218" s="1912">
        <v>0.15</v>
      </c>
      <c r="F218" s="1913">
        <v>0.15</v>
      </c>
    </row>
    <row r="219" spans="1:6" ht="14.25" thickBot="1">
      <c r="A219" s="1341" t="s">
        <v>1470</v>
      </c>
      <c r="B219" s="1335" t="s">
        <v>1270</v>
      </c>
      <c r="C219" s="1912">
        <v>0.15</v>
      </c>
      <c r="D219" s="1912">
        <v>0.15</v>
      </c>
      <c r="E219" s="1912">
        <v>0.15</v>
      </c>
      <c r="F219" s="1913">
        <v>0.14799999999999999</v>
      </c>
    </row>
    <row r="220" spans="1:6" ht="14.25" thickBot="1">
      <c r="A220" s="1341" t="s">
        <v>1470</v>
      </c>
      <c r="B220" s="1335" t="s">
        <v>2098</v>
      </c>
      <c r="C220" s="1912">
        <v>0.15</v>
      </c>
      <c r="D220" s="1912">
        <v>0.15</v>
      </c>
      <c r="E220" s="1912">
        <v>0.15</v>
      </c>
      <c r="F220" s="1913">
        <v>0.15</v>
      </c>
    </row>
    <row r="221" spans="1:6" ht="14.25" thickBot="1">
      <c r="A221" s="1341" t="s">
        <v>1470</v>
      </c>
      <c r="B221" s="1335" t="s">
        <v>1291</v>
      </c>
      <c r="C221" s="1912"/>
      <c r="D221" s="1918"/>
      <c r="E221" s="1918"/>
      <c r="F221" s="1913">
        <v>0.14799999999999999</v>
      </c>
    </row>
    <row r="222" spans="1:6" ht="14.25" thickBot="1">
      <c r="A222" s="1341" t="s">
        <v>1470</v>
      </c>
      <c r="B222" s="1335" t="s">
        <v>1301</v>
      </c>
      <c r="C222" s="1912"/>
      <c r="D222" s="1918"/>
      <c r="E222" s="1918"/>
      <c r="F222" s="1913">
        <v>0.1</v>
      </c>
    </row>
    <row r="223" spans="1:6" ht="14.25" thickBot="1">
      <c r="A223" s="1341" t="s">
        <v>1470</v>
      </c>
      <c r="B223" s="1335" t="s">
        <v>1311</v>
      </c>
      <c r="C223" s="1912"/>
      <c r="D223" s="1918"/>
      <c r="E223" s="1918"/>
      <c r="F223" s="1913">
        <v>0.15</v>
      </c>
    </row>
    <row r="224" spans="1:6" ht="14.25" thickBot="1">
      <c r="A224" s="1341" t="s">
        <v>1470</v>
      </c>
      <c r="B224" s="1335" t="s">
        <v>1321</v>
      </c>
      <c r="C224" s="1912"/>
      <c r="D224" s="1918"/>
      <c r="E224" s="1918"/>
      <c r="F224" s="1913">
        <v>0.15</v>
      </c>
    </row>
    <row r="225" spans="1:6" ht="14.25" thickBot="1">
      <c r="A225" s="1341" t="s">
        <v>1470</v>
      </c>
      <c r="B225" s="1335" t="s">
        <v>2099</v>
      </c>
      <c r="C225" s="1912">
        <v>0.15</v>
      </c>
      <c r="D225" s="1912">
        <v>0.15</v>
      </c>
      <c r="E225" s="1912">
        <v>0.15</v>
      </c>
      <c r="F225" s="1913">
        <v>0.15</v>
      </c>
    </row>
    <row r="226" spans="1:6" ht="14.25" thickBot="1">
      <c r="A226" s="1341" t="s">
        <v>1470</v>
      </c>
      <c r="B226" s="1335" t="s">
        <v>1339</v>
      </c>
      <c r="C226" s="1912">
        <v>0.15</v>
      </c>
      <c r="D226" s="1912">
        <v>0.15</v>
      </c>
      <c r="E226" s="1912">
        <v>0.15</v>
      </c>
      <c r="F226" s="1913">
        <v>0.14799999999999999</v>
      </c>
    </row>
    <row r="227" spans="1:6" ht="14.25" thickBot="1">
      <c r="A227" s="1341" t="s">
        <v>1470</v>
      </c>
      <c r="B227" s="1335" t="s">
        <v>2100</v>
      </c>
      <c r="C227" s="1912">
        <v>0.15</v>
      </c>
      <c r="D227" s="1912">
        <v>0.15</v>
      </c>
      <c r="E227" s="1912">
        <v>0.15</v>
      </c>
      <c r="F227" s="1913">
        <v>0.15</v>
      </c>
    </row>
    <row r="228" spans="1:6" ht="14.25" thickBot="1">
      <c r="A228" s="1341" t="s">
        <v>1470</v>
      </c>
      <c r="B228" s="1335" t="s">
        <v>1354</v>
      </c>
      <c r="C228" s="1912">
        <v>0.15</v>
      </c>
      <c r="D228" s="1912">
        <v>0.15</v>
      </c>
      <c r="E228" s="1912">
        <v>0.15</v>
      </c>
      <c r="F228" s="1913">
        <v>0.15</v>
      </c>
    </row>
    <row r="229" spans="1:6" ht="14.25" thickBot="1">
      <c r="A229" s="1341" t="s">
        <v>1470</v>
      </c>
      <c r="B229" s="1335" t="s">
        <v>1361</v>
      </c>
      <c r="C229" s="1912">
        <v>0.15</v>
      </c>
      <c r="D229" s="1912">
        <v>0.15</v>
      </c>
      <c r="E229" s="1912">
        <v>0.15</v>
      </c>
      <c r="F229" s="1917"/>
    </row>
    <row r="230" spans="1:6" ht="14.25" thickBot="1">
      <c r="A230" s="1341" t="s">
        <v>1470</v>
      </c>
      <c r="B230" s="1335" t="s">
        <v>1368</v>
      </c>
      <c r="C230" s="1912">
        <v>0.14499999999999999</v>
      </c>
      <c r="D230" s="1912">
        <v>0.14499999999999999</v>
      </c>
      <c r="E230" s="1912">
        <v>0.14399999999999999</v>
      </c>
      <c r="F230" s="1917"/>
    </row>
    <row r="231" spans="1:6" ht="14.25" thickBot="1">
      <c r="A231" s="1341" t="s">
        <v>1470</v>
      </c>
      <c r="B231" s="1335" t="s">
        <v>2101</v>
      </c>
      <c r="C231" s="1912">
        <v>0.128</v>
      </c>
      <c r="D231" s="1912">
        <v>0.125</v>
      </c>
      <c r="E231" s="1912">
        <v>0.13200000000000001</v>
      </c>
      <c r="F231" s="1917"/>
    </row>
    <row r="232" spans="1:6" ht="14.25" thickBot="1">
      <c r="A232" s="1341" t="s">
        <v>1470</v>
      </c>
      <c r="B232" s="1335" t="s">
        <v>2102</v>
      </c>
      <c r="C232" s="1912">
        <v>0.14499999999999999</v>
      </c>
      <c r="D232" s="1912">
        <v>0.14399999999999999</v>
      </c>
      <c r="E232" s="1912">
        <v>0.14599999999999999</v>
      </c>
      <c r="F232" s="1913">
        <v>0.13800000000000001</v>
      </c>
    </row>
    <row r="233" spans="1:6" ht="14.25" thickBot="1">
      <c r="A233" s="1341" t="s">
        <v>1470</v>
      </c>
      <c r="B233" s="1335" t="s">
        <v>2103</v>
      </c>
      <c r="C233" s="1912">
        <v>0.14499999999999999</v>
      </c>
      <c r="D233" s="1912">
        <v>0.14299999999999999</v>
      </c>
      <c r="E233" s="1912">
        <v>0.14199999999999999</v>
      </c>
      <c r="F233" s="1917"/>
    </row>
    <row r="234" spans="1:6" ht="14.25" thickBot="1">
      <c r="A234" s="1341" t="s">
        <v>1470</v>
      </c>
      <c r="B234" s="1335" t="s">
        <v>2104</v>
      </c>
      <c r="C234" s="1912">
        <v>0.14000000000000001</v>
      </c>
      <c r="D234" s="1912">
        <v>0.14000000000000001</v>
      </c>
      <c r="E234" s="1912">
        <v>0.14399999999999999</v>
      </c>
      <c r="F234" s="1917"/>
    </row>
    <row r="235" spans="1:6" ht="14.25" thickBot="1">
      <c r="A235" s="1341" t="s">
        <v>1470</v>
      </c>
      <c r="B235" s="1335" t="s">
        <v>2105</v>
      </c>
      <c r="C235" s="1912">
        <v>0.14099999999999999</v>
      </c>
      <c r="D235" s="1912">
        <v>0.14199999999999999</v>
      </c>
      <c r="E235" s="1912">
        <v>0.14499999999999999</v>
      </c>
      <c r="F235" s="1913">
        <v>0.15</v>
      </c>
    </row>
    <row r="236" spans="1:6" ht="14.25" thickBot="1">
      <c r="A236" s="1341" t="s">
        <v>1470</v>
      </c>
      <c r="B236" s="1335" t="s">
        <v>1403</v>
      </c>
      <c r="C236" s="1918"/>
      <c r="D236" s="1918"/>
      <c r="E236" s="1918"/>
      <c r="F236" s="1913">
        <v>0.14299999999999999</v>
      </c>
    </row>
    <row r="237" spans="1:6" ht="24.75" thickBot="1">
      <c r="A237" s="1341" t="s">
        <v>1470</v>
      </c>
      <c r="B237" s="1335" t="s">
        <v>2106</v>
      </c>
      <c r="C237" s="1918"/>
      <c r="D237" s="1918"/>
      <c r="E237" s="1918"/>
      <c r="F237" s="1913">
        <v>0.05</v>
      </c>
    </row>
    <row r="238" spans="1:6" ht="24.75" thickBot="1">
      <c r="A238" s="1341" t="s">
        <v>1470</v>
      </c>
      <c r="B238" s="1335" t="s">
        <v>2107</v>
      </c>
      <c r="C238" s="1918"/>
      <c r="D238" s="1918"/>
      <c r="E238" s="1918"/>
      <c r="F238" s="1913">
        <v>0.05</v>
      </c>
    </row>
    <row r="239" spans="1:6" ht="24.75" thickBot="1">
      <c r="A239" s="1341" t="s">
        <v>1470</v>
      </c>
      <c r="B239" s="1335" t="s">
        <v>2108</v>
      </c>
      <c r="C239" s="1918"/>
      <c r="D239" s="1918"/>
      <c r="E239" s="1918"/>
      <c r="F239" s="1913">
        <v>0.05</v>
      </c>
    </row>
    <row r="240" spans="1:6" ht="24.75" thickBot="1">
      <c r="A240" s="1341" t="s">
        <v>1470</v>
      </c>
      <c r="B240" s="1335" t="s">
        <v>2109</v>
      </c>
      <c r="C240" s="1918"/>
      <c r="D240" s="1918"/>
      <c r="E240" s="1918"/>
      <c r="F240" s="1913">
        <v>0.05</v>
      </c>
    </row>
    <row r="241" spans="1:6" ht="24.75" thickBot="1">
      <c r="A241" s="1341" t="s">
        <v>1470</v>
      </c>
      <c r="B241" s="1335" t="s">
        <v>2110</v>
      </c>
      <c r="C241" s="1918"/>
      <c r="D241" s="1918"/>
      <c r="E241" s="1918"/>
      <c r="F241" s="1913">
        <v>0.05</v>
      </c>
    </row>
    <row r="242" spans="1:6" ht="24.75" thickBot="1">
      <c r="A242" s="1341" t="s">
        <v>1470</v>
      </c>
      <c r="B242" s="1335" t="s">
        <v>2111</v>
      </c>
      <c r="C242" s="1918"/>
      <c r="D242" s="1918"/>
      <c r="E242" s="1918"/>
      <c r="F242" s="1913">
        <v>0.05</v>
      </c>
    </row>
    <row r="243" spans="1:6" ht="24.75" thickBot="1">
      <c r="A243" s="1341" t="s">
        <v>1470</v>
      </c>
      <c r="B243" s="1335" t="s">
        <v>2112</v>
      </c>
      <c r="C243" s="1918"/>
      <c r="D243" s="1918"/>
      <c r="E243" s="1918"/>
      <c r="F243" s="1913">
        <v>0.05</v>
      </c>
    </row>
    <row r="244" spans="1:6" ht="24.75" thickBot="1">
      <c r="A244" s="1358" t="s">
        <v>1470</v>
      </c>
      <c r="B244" s="1351" t="s">
        <v>2113</v>
      </c>
      <c r="C244" s="1915"/>
      <c r="D244" s="1915"/>
      <c r="E244" s="1915"/>
      <c r="F244" s="1919">
        <v>0.05</v>
      </c>
    </row>
    <row r="245" spans="1:6" ht="14.25" thickBot="1">
      <c r="A245" s="1341" t="s">
        <v>1472</v>
      </c>
      <c r="B245" s="1342" t="s">
        <v>2114</v>
      </c>
      <c r="C245" s="1910">
        <v>0.15</v>
      </c>
      <c r="D245" s="1910">
        <v>0.15</v>
      </c>
      <c r="E245" s="1910">
        <v>0.15</v>
      </c>
      <c r="F245" s="1911">
        <v>0.14299999999999999</v>
      </c>
    </row>
    <row r="246" spans="1:6" ht="14.25" thickBot="1">
      <c r="A246" s="1341" t="s">
        <v>1472</v>
      </c>
      <c r="B246" s="1335" t="s">
        <v>1129</v>
      </c>
      <c r="C246" s="1912">
        <v>0.15</v>
      </c>
      <c r="D246" s="1912">
        <v>0.15</v>
      </c>
      <c r="E246" s="1912">
        <v>0.15</v>
      </c>
      <c r="F246" s="1913">
        <v>0.114</v>
      </c>
    </row>
    <row r="247" spans="1:6" ht="14.25" thickBot="1">
      <c r="A247" s="1341" t="s">
        <v>1472</v>
      </c>
      <c r="B247" s="1335" t="s">
        <v>2115</v>
      </c>
      <c r="C247" s="1912">
        <v>0.15</v>
      </c>
      <c r="D247" s="1912">
        <v>0.15</v>
      </c>
      <c r="E247" s="1912">
        <v>0.15</v>
      </c>
      <c r="F247" s="1913">
        <v>0.15</v>
      </c>
    </row>
    <row r="248" spans="1:6" ht="14.25" thickBot="1">
      <c r="A248" s="1341" t="s">
        <v>1472</v>
      </c>
      <c r="B248" s="1335" t="s">
        <v>2116</v>
      </c>
      <c r="C248" s="1912">
        <v>0.15</v>
      </c>
      <c r="D248" s="1912">
        <v>0.15</v>
      </c>
      <c r="E248" s="1912">
        <v>0.15</v>
      </c>
      <c r="F248" s="1913">
        <v>0.14000000000000001</v>
      </c>
    </row>
    <row r="249" spans="1:6" ht="14.25" thickBot="1">
      <c r="A249" s="1341" t="s">
        <v>1472</v>
      </c>
      <c r="B249" s="1335" t="s">
        <v>2117</v>
      </c>
      <c r="C249" s="1912">
        <v>0.15</v>
      </c>
      <c r="D249" s="1912">
        <v>0.14899999999999999</v>
      </c>
      <c r="E249" s="1912">
        <v>0.15</v>
      </c>
      <c r="F249" s="1913">
        <v>0.1</v>
      </c>
    </row>
    <row r="250" spans="1:6" ht="14.25" thickBot="1">
      <c r="A250" s="1341" t="s">
        <v>1472</v>
      </c>
      <c r="B250" s="1335" t="s">
        <v>2118</v>
      </c>
      <c r="C250" s="1912">
        <v>0.15</v>
      </c>
      <c r="D250" s="1912">
        <v>0.15</v>
      </c>
      <c r="E250" s="1912">
        <v>0.15</v>
      </c>
      <c r="F250" s="1913">
        <v>0.14399999999999999</v>
      </c>
    </row>
    <row r="251" spans="1:6" ht="14.25" thickBot="1">
      <c r="A251" s="1341" t="s">
        <v>1472</v>
      </c>
      <c r="B251" s="1335" t="s">
        <v>1191</v>
      </c>
      <c r="C251" s="1912">
        <v>0.15</v>
      </c>
      <c r="D251" s="1912">
        <v>0.15</v>
      </c>
      <c r="E251" s="1912">
        <v>0.15</v>
      </c>
      <c r="F251" s="1913">
        <v>0.14299999999999999</v>
      </c>
    </row>
    <row r="252" spans="1:6" ht="14.25" thickBot="1">
      <c r="A252" s="1341" t="s">
        <v>1472</v>
      </c>
      <c r="B252" s="1335" t="s">
        <v>1203</v>
      </c>
      <c r="C252" s="1912">
        <v>0.15</v>
      </c>
      <c r="D252" s="1912">
        <v>0.15</v>
      </c>
      <c r="E252" s="1912">
        <v>0.15</v>
      </c>
      <c r="F252" s="1913">
        <v>0.1</v>
      </c>
    </row>
    <row r="253" spans="1:6" ht="14.25" thickBot="1">
      <c r="A253" s="1341" t="s">
        <v>1472</v>
      </c>
      <c r="B253" s="1335" t="s">
        <v>1216</v>
      </c>
      <c r="C253" s="1912">
        <v>0.15</v>
      </c>
      <c r="D253" s="1912">
        <v>0.15</v>
      </c>
      <c r="E253" s="1912">
        <v>0.15</v>
      </c>
      <c r="F253" s="1913">
        <v>0.1</v>
      </c>
    </row>
    <row r="254" spans="1:6" ht="14.25" thickBot="1">
      <c r="A254" s="1341" t="s">
        <v>1472</v>
      </c>
      <c r="B254" s="1335" t="s">
        <v>1227</v>
      </c>
      <c r="C254" s="1918"/>
      <c r="D254" s="1918"/>
      <c r="E254" s="1918"/>
      <c r="F254" s="1913">
        <v>0.15</v>
      </c>
    </row>
    <row r="255" spans="1:6" ht="14.25" thickBot="1">
      <c r="A255" s="1341" t="s">
        <v>1472</v>
      </c>
      <c r="B255" s="1335" t="s">
        <v>1238</v>
      </c>
      <c r="C255" s="1918"/>
      <c r="D255" s="1918"/>
      <c r="E255" s="1918"/>
      <c r="F255" s="1913">
        <v>0.14299999999999999</v>
      </c>
    </row>
    <row r="256" spans="1:6" ht="14.25" thickBot="1">
      <c r="A256" s="1341" t="s">
        <v>1472</v>
      </c>
      <c r="B256" s="1335" t="s">
        <v>2119</v>
      </c>
      <c r="C256" s="1912">
        <v>0.14599999999999999</v>
      </c>
      <c r="D256" s="1912">
        <v>0.14699999999999999</v>
      </c>
      <c r="E256" s="1912">
        <v>0.15</v>
      </c>
      <c r="F256" s="1913">
        <v>0.13200000000000001</v>
      </c>
    </row>
    <row r="257" spans="1:6" ht="14.25" thickBot="1">
      <c r="A257" s="1341" t="s">
        <v>1472</v>
      </c>
      <c r="B257" s="1335" t="s">
        <v>1260</v>
      </c>
      <c r="C257" s="1912">
        <v>0.15</v>
      </c>
      <c r="D257" s="1912">
        <v>0.15</v>
      </c>
      <c r="E257" s="1912">
        <v>0.15</v>
      </c>
      <c r="F257" s="1913">
        <v>0.13900000000000001</v>
      </c>
    </row>
    <row r="258" spans="1:6" ht="14.25" thickBot="1">
      <c r="A258" s="1341" t="s">
        <v>1472</v>
      </c>
      <c r="B258" s="1335" t="s">
        <v>1271</v>
      </c>
      <c r="C258" s="1912">
        <v>0.15</v>
      </c>
      <c r="D258" s="1912">
        <v>0.15</v>
      </c>
      <c r="E258" s="1912">
        <v>0.15</v>
      </c>
      <c r="F258" s="1913">
        <v>0.13</v>
      </c>
    </row>
    <row r="259" spans="1:6" ht="14.25" thickBot="1">
      <c r="A259" s="1341" t="s">
        <v>1472</v>
      </c>
      <c r="B259" s="1335" t="s">
        <v>2120</v>
      </c>
      <c r="C259" s="1912">
        <v>0.14799999999999999</v>
      </c>
      <c r="D259" s="1912">
        <v>0.14899999999999999</v>
      </c>
      <c r="E259" s="1912">
        <v>0.15</v>
      </c>
      <c r="F259" s="1913">
        <v>0.13700000000000001</v>
      </c>
    </row>
    <row r="260" spans="1:6" ht="14.25" thickBot="1">
      <c r="A260" s="1341" t="s">
        <v>1472</v>
      </c>
      <c r="B260" s="1335" t="s">
        <v>1292</v>
      </c>
      <c r="C260" s="1912">
        <v>0.15</v>
      </c>
      <c r="D260" s="1912">
        <v>0.15</v>
      </c>
      <c r="E260" s="1912">
        <v>0.15</v>
      </c>
      <c r="F260" s="1913">
        <v>0.14199999999999999</v>
      </c>
    </row>
    <row r="261" spans="1:6" ht="14.25" thickBot="1">
      <c r="A261" s="1341" t="s">
        <v>1472</v>
      </c>
      <c r="B261" s="1335" t="s">
        <v>1302</v>
      </c>
      <c r="C261" s="1912">
        <v>0.15</v>
      </c>
      <c r="D261" s="1912">
        <v>0.15</v>
      </c>
      <c r="E261" s="1912">
        <v>0.14899999999999999</v>
      </c>
      <c r="F261" s="1913">
        <v>0.14799999999999999</v>
      </c>
    </row>
    <row r="262" spans="1:6" ht="14.25" thickBot="1">
      <c r="A262" s="1341" t="s">
        <v>1472</v>
      </c>
      <c r="B262" s="1335" t="s">
        <v>1312</v>
      </c>
      <c r="C262" s="1912">
        <v>0.15</v>
      </c>
      <c r="D262" s="1912">
        <v>0.15</v>
      </c>
      <c r="E262" s="1912">
        <v>0.15</v>
      </c>
      <c r="F262" s="1917"/>
    </row>
    <row r="263" spans="1:6" ht="14.25" thickBot="1">
      <c r="A263" s="1341" t="s">
        <v>1472</v>
      </c>
      <c r="B263" s="1335" t="s">
        <v>2121</v>
      </c>
      <c r="C263" s="1912">
        <v>0.14899999999999999</v>
      </c>
      <c r="D263" s="1912">
        <v>0.14899999999999999</v>
      </c>
      <c r="E263" s="1912">
        <v>0.15</v>
      </c>
      <c r="F263" s="1913">
        <v>0.13</v>
      </c>
    </row>
    <row r="264" spans="1:6" ht="14.25" thickBot="1">
      <c r="A264" s="1341" t="s">
        <v>1472</v>
      </c>
      <c r="B264" s="1335" t="s">
        <v>1331</v>
      </c>
      <c r="C264" s="1912">
        <v>0.14799999999999999</v>
      </c>
      <c r="D264" s="1912">
        <v>0.14699999999999999</v>
      </c>
      <c r="E264" s="1912">
        <v>0.15</v>
      </c>
      <c r="F264" s="1913">
        <v>7.8E-2</v>
      </c>
    </row>
    <row r="265" spans="1:6" ht="14.25" thickBot="1">
      <c r="A265" s="1341" t="s">
        <v>1472</v>
      </c>
      <c r="B265" s="1335" t="s">
        <v>1340</v>
      </c>
      <c r="C265" s="1912">
        <v>0.15</v>
      </c>
      <c r="D265" s="1912">
        <v>0.15</v>
      </c>
      <c r="E265" s="1912">
        <v>0.15</v>
      </c>
      <c r="F265" s="1913">
        <v>7.3999999999999996E-2</v>
      </c>
    </row>
    <row r="266" spans="1:6" ht="14.25" thickBot="1">
      <c r="A266" s="1341" t="s">
        <v>1472</v>
      </c>
      <c r="B266" s="1335" t="s">
        <v>1348</v>
      </c>
      <c r="C266" s="1912">
        <v>0.14699999999999999</v>
      </c>
      <c r="D266" s="1912">
        <v>0.14699999999999999</v>
      </c>
      <c r="E266" s="1912">
        <v>0.15</v>
      </c>
      <c r="F266" s="1913">
        <v>0.14299999999999999</v>
      </c>
    </row>
    <row r="267" spans="1:6" ht="14.25" thickBot="1">
      <c r="A267" s="1341" t="s">
        <v>1472</v>
      </c>
      <c r="B267" s="1335" t="s">
        <v>1355</v>
      </c>
      <c r="C267" s="1912">
        <v>0.14199999999999999</v>
      </c>
      <c r="D267" s="1912">
        <v>0.14299999999999999</v>
      </c>
      <c r="E267" s="1912">
        <v>0.15</v>
      </c>
      <c r="F267" s="1917"/>
    </row>
    <row r="268" spans="1:6" ht="14.25" thickBot="1">
      <c r="A268" s="1341" t="s">
        <v>1472</v>
      </c>
      <c r="B268" s="1335" t="s">
        <v>2122</v>
      </c>
      <c r="C268" s="1912">
        <v>0.15</v>
      </c>
      <c r="D268" s="1912">
        <v>0.15</v>
      </c>
      <c r="E268" s="1912">
        <v>0.15</v>
      </c>
      <c r="F268" s="1913">
        <v>0.13</v>
      </c>
    </row>
    <row r="269" spans="1:6" ht="14.25" thickBot="1">
      <c r="A269" s="1341" t="s">
        <v>1472</v>
      </c>
      <c r="B269" s="1335" t="s">
        <v>1369</v>
      </c>
      <c r="C269" s="1912">
        <v>0.15</v>
      </c>
      <c r="D269" s="1912">
        <v>0.15</v>
      </c>
      <c r="E269" s="1912">
        <v>0.15</v>
      </c>
      <c r="F269" s="1913">
        <v>0.14299999999999999</v>
      </c>
    </row>
    <row r="270" spans="1:6" ht="14.25" thickBot="1">
      <c r="A270" s="1341" t="s">
        <v>1472</v>
      </c>
      <c r="B270" s="1335" t="s">
        <v>1376</v>
      </c>
      <c r="C270" s="1912">
        <v>0.14499999999999999</v>
      </c>
      <c r="D270" s="1912">
        <v>0.14499999999999999</v>
      </c>
      <c r="E270" s="1912">
        <v>0.15</v>
      </c>
      <c r="F270" s="1913">
        <v>0.14699999999999999</v>
      </c>
    </row>
    <row r="271" spans="1:6" ht="14.25" thickBot="1">
      <c r="A271" s="1341" t="s">
        <v>1472</v>
      </c>
      <c r="B271" s="1335" t="s">
        <v>1383</v>
      </c>
      <c r="C271" s="1912">
        <v>0.15</v>
      </c>
      <c r="D271" s="1912">
        <v>0.15</v>
      </c>
      <c r="E271" s="1912">
        <v>0.15</v>
      </c>
      <c r="F271" s="1913">
        <v>0.13800000000000001</v>
      </c>
    </row>
    <row r="272" spans="1:6" ht="14.25" thickBot="1">
      <c r="A272" s="1341" t="s">
        <v>1472</v>
      </c>
      <c r="B272" s="1335" t="s">
        <v>1390</v>
      </c>
      <c r="C272" s="1918"/>
      <c r="D272" s="1918"/>
      <c r="E272" s="1918"/>
      <c r="F272" s="1913">
        <v>0.14000000000000001</v>
      </c>
    </row>
    <row r="273" spans="1:6" ht="14.25" thickBot="1">
      <c r="A273" s="1341" t="s">
        <v>1472</v>
      </c>
      <c r="B273" s="1335" t="s">
        <v>2123</v>
      </c>
      <c r="C273" s="1912">
        <v>0.14199999999999999</v>
      </c>
      <c r="D273" s="1912">
        <v>0.14299999999999999</v>
      </c>
      <c r="E273" s="1912">
        <v>0.15</v>
      </c>
      <c r="F273" s="1913">
        <v>0.1</v>
      </c>
    </row>
    <row r="274" spans="1:6" ht="14.25" thickBot="1">
      <c r="A274" s="1341" t="s">
        <v>1472</v>
      </c>
      <c r="B274" s="1335" t="s">
        <v>2124</v>
      </c>
      <c r="C274" s="1912">
        <v>0.14799999999999999</v>
      </c>
      <c r="D274" s="1912">
        <v>0.14799999999999999</v>
      </c>
      <c r="E274" s="1912">
        <v>0.15</v>
      </c>
      <c r="F274" s="1913">
        <v>6.7000000000000004E-2</v>
      </c>
    </row>
    <row r="275" spans="1:6" ht="14.25" thickBot="1">
      <c r="A275" s="1341" t="s">
        <v>1472</v>
      </c>
      <c r="B275" s="1335" t="s">
        <v>2125</v>
      </c>
      <c r="C275" s="1912">
        <v>0.15</v>
      </c>
      <c r="D275" s="1912">
        <v>0.15</v>
      </c>
      <c r="E275" s="1912">
        <v>0.15</v>
      </c>
      <c r="F275" s="1913">
        <v>0.15</v>
      </c>
    </row>
    <row r="276" spans="1:6" ht="14.25" thickBot="1">
      <c r="A276" s="1341" t="s">
        <v>1472</v>
      </c>
      <c r="B276" s="1335" t="s">
        <v>2126</v>
      </c>
      <c r="C276" s="1912">
        <v>0.14499999999999999</v>
      </c>
      <c r="D276" s="1912">
        <v>0.14299999999999999</v>
      </c>
      <c r="E276" s="1912">
        <v>0.15</v>
      </c>
      <c r="F276" s="1913">
        <v>5.8999999999999997E-2</v>
      </c>
    </row>
    <row r="277" spans="1:6" ht="14.25" thickBot="1">
      <c r="A277" s="1341" t="s">
        <v>1472</v>
      </c>
      <c r="B277" s="1335" t="s">
        <v>2127</v>
      </c>
      <c r="C277" s="1912">
        <v>0.15</v>
      </c>
      <c r="D277" s="1912">
        <v>0.15</v>
      </c>
      <c r="E277" s="1912">
        <v>0.15</v>
      </c>
      <c r="F277" s="1913">
        <v>0.121</v>
      </c>
    </row>
    <row r="278" spans="1:6" ht="14.25" thickBot="1">
      <c r="A278" s="1341" t="s">
        <v>1472</v>
      </c>
      <c r="B278" s="1335" t="s">
        <v>2128</v>
      </c>
      <c r="C278" s="1912">
        <v>0.15</v>
      </c>
      <c r="D278" s="1912">
        <v>0.15</v>
      </c>
      <c r="E278" s="1912">
        <v>0.15</v>
      </c>
      <c r="F278" s="1913">
        <v>0.13800000000000001</v>
      </c>
    </row>
    <row r="279" spans="1:6" ht="24.75" thickBot="1">
      <c r="A279" s="1341" t="s">
        <v>1472</v>
      </c>
      <c r="B279" s="1335" t="s">
        <v>2129</v>
      </c>
      <c r="C279" s="1918"/>
      <c r="D279" s="1918"/>
      <c r="E279" s="1918"/>
      <c r="F279" s="1913">
        <v>0.05</v>
      </c>
    </row>
    <row r="280" spans="1:6" ht="24.75" thickBot="1">
      <c r="A280" s="1341" t="s">
        <v>1472</v>
      </c>
      <c r="B280" s="1335" t="s">
        <v>2130</v>
      </c>
      <c r="C280" s="1918"/>
      <c r="D280" s="1918"/>
      <c r="E280" s="1918"/>
      <c r="F280" s="1913">
        <v>0.05</v>
      </c>
    </row>
    <row r="281" spans="1:6" ht="24.75" thickBot="1">
      <c r="A281" s="1341" t="s">
        <v>1472</v>
      </c>
      <c r="B281" s="1335" t="s">
        <v>2131</v>
      </c>
      <c r="C281" s="1918"/>
      <c r="D281" s="1918"/>
      <c r="E281" s="1918"/>
      <c r="F281" s="1913">
        <v>0.05</v>
      </c>
    </row>
    <row r="282" spans="1:6" ht="24.75" thickBot="1">
      <c r="A282" s="1341" t="s">
        <v>1472</v>
      </c>
      <c r="B282" s="1335" t="s">
        <v>2132</v>
      </c>
      <c r="C282" s="1918"/>
      <c r="D282" s="1918"/>
      <c r="E282" s="1918"/>
      <c r="F282" s="1913">
        <v>0.05</v>
      </c>
    </row>
    <row r="283" spans="1:6" ht="24.75" thickBot="1">
      <c r="A283" s="1341" t="s">
        <v>1472</v>
      </c>
      <c r="B283" s="1335" t="s">
        <v>2133</v>
      </c>
      <c r="C283" s="1918"/>
      <c r="D283" s="1918"/>
      <c r="E283" s="1918"/>
      <c r="F283" s="1913">
        <v>0.05</v>
      </c>
    </row>
    <row r="284" spans="1:6" ht="24.75" thickBot="1">
      <c r="A284" s="1341" t="s">
        <v>1472</v>
      </c>
      <c r="B284" s="1335" t="s">
        <v>2134</v>
      </c>
      <c r="C284" s="1918"/>
      <c r="D284" s="1918"/>
      <c r="E284" s="1918"/>
      <c r="F284" s="1913">
        <v>0.05</v>
      </c>
    </row>
    <row r="285" spans="1:6" ht="24.75" thickBot="1">
      <c r="A285" s="1341" t="s">
        <v>1472</v>
      </c>
      <c r="B285" s="1335" t="s">
        <v>2135</v>
      </c>
      <c r="C285" s="1918"/>
      <c r="D285" s="1918"/>
      <c r="E285" s="1918"/>
      <c r="F285" s="1913">
        <v>0.05</v>
      </c>
    </row>
    <row r="286" spans="1:6" ht="24.75" thickBot="1">
      <c r="A286" s="1341" t="s">
        <v>1472</v>
      </c>
      <c r="B286" s="1335" t="s">
        <v>2136</v>
      </c>
      <c r="C286" s="1918"/>
      <c r="D286" s="1918"/>
      <c r="E286" s="1918"/>
      <c r="F286" s="1913">
        <v>0.05</v>
      </c>
    </row>
    <row r="287" spans="1:6" ht="24.75" thickBot="1">
      <c r="A287" s="1341" t="s">
        <v>1472</v>
      </c>
      <c r="B287" s="1335" t="s">
        <v>2137</v>
      </c>
      <c r="C287" s="1918"/>
      <c r="D287" s="1918"/>
      <c r="E287" s="1918"/>
      <c r="F287" s="1913">
        <v>0.05</v>
      </c>
    </row>
    <row r="288" spans="1:6" ht="24.75" thickBot="1">
      <c r="A288" s="1341" t="s">
        <v>1472</v>
      </c>
      <c r="B288" s="1335" t="s">
        <v>2138</v>
      </c>
      <c r="C288" s="1918"/>
      <c r="D288" s="1918"/>
      <c r="E288" s="1918"/>
      <c r="F288" s="1913">
        <v>0.05</v>
      </c>
    </row>
    <row r="289" spans="1:6" ht="24.75" thickBot="1">
      <c r="A289" s="1358" t="s">
        <v>1472</v>
      </c>
      <c r="B289" s="1351" t="s">
        <v>2139</v>
      </c>
      <c r="C289" s="1915"/>
      <c r="D289" s="1915"/>
      <c r="E289" s="1915"/>
      <c r="F289" s="1919">
        <v>0.05</v>
      </c>
    </row>
    <row r="290" spans="1:6" ht="14.25" thickBot="1">
      <c r="A290" s="1341" t="s">
        <v>1476</v>
      </c>
      <c r="B290" s="1342" t="s">
        <v>2140</v>
      </c>
      <c r="C290" s="1910">
        <v>0.15</v>
      </c>
      <c r="D290" s="1910">
        <v>0.15</v>
      </c>
      <c r="E290" s="1910">
        <v>0.15</v>
      </c>
      <c r="F290" s="1927"/>
    </row>
    <row r="291" spans="1:6" ht="14.25" thickBot="1">
      <c r="A291" s="1341" t="s">
        <v>1476</v>
      </c>
      <c r="B291" s="1335" t="s">
        <v>1130</v>
      </c>
      <c r="C291" s="1912">
        <v>0.15</v>
      </c>
      <c r="D291" s="1912">
        <v>0.15</v>
      </c>
      <c r="E291" s="1912">
        <v>0.15</v>
      </c>
      <c r="F291" s="1917"/>
    </row>
    <row r="292" spans="1:6" ht="14.25" thickBot="1">
      <c r="A292" s="1341" t="s">
        <v>1476</v>
      </c>
      <c r="B292" s="1335" t="s">
        <v>2141</v>
      </c>
      <c r="C292" s="1912">
        <v>0.15</v>
      </c>
      <c r="D292" s="1912">
        <v>0.15</v>
      </c>
      <c r="E292" s="1912">
        <v>0.15</v>
      </c>
      <c r="F292" s="1913">
        <v>0.14699999999999999</v>
      </c>
    </row>
    <row r="293" spans="1:6" ht="14.25" thickBot="1">
      <c r="A293" s="1341" t="s">
        <v>1476</v>
      </c>
      <c r="B293" s="1335" t="s">
        <v>2142</v>
      </c>
      <c r="C293" s="1918"/>
      <c r="D293" s="1918"/>
      <c r="E293" s="1918"/>
      <c r="F293" s="1913">
        <v>0.1</v>
      </c>
    </row>
    <row r="294" spans="1:6" ht="14.25" thickBot="1">
      <c r="A294" s="1341" t="s">
        <v>1476</v>
      </c>
      <c r="B294" s="1335" t="s">
        <v>2143</v>
      </c>
      <c r="C294" s="1912">
        <v>0.15</v>
      </c>
      <c r="D294" s="1912">
        <v>0.15</v>
      </c>
      <c r="E294" s="1912">
        <v>0.15</v>
      </c>
      <c r="F294" s="1913">
        <v>0.15</v>
      </c>
    </row>
    <row r="295" spans="1:6" ht="14.25" thickBot="1">
      <c r="A295" s="1341" t="s">
        <v>1476</v>
      </c>
      <c r="B295" s="1335" t="s">
        <v>1168</v>
      </c>
      <c r="C295" s="1912">
        <v>0.15</v>
      </c>
      <c r="D295" s="1912">
        <v>0.15</v>
      </c>
      <c r="E295" s="1912">
        <v>0.15</v>
      </c>
      <c r="F295" s="1913">
        <v>0.15</v>
      </c>
    </row>
    <row r="296" spans="1:6" ht="14.25" thickBot="1">
      <c r="A296" s="1341" t="s">
        <v>1476</v>
      </c>
      <c r="B296" s="1335" t="s">
        <v>2144</v>
      </c>
      <c r="C296" s="1912">
        <v>0.15</v>
      </c>
      <c r="D296" s="1912">
        <v>0.15</v>
      </c>
      <c r="E296" s="1912">
        <v>0.15</v>
      </c>
      <c r="F296" s="1913">
        <v>0.15</v>
      </c>
    </row>
    <row r="297" spans="1:6" ht="14.25" thickBot="1">
      <c r="A297" s="1341" t="s">
        <v>1476</v>
      </c>
      <c r="B297" s="1335" t="s">
        <v>2145</v>
      </c>
      <c r="C297" s="1912">
        <v>0.14799999999999999</v>
      </c>
      <c r="D297" s="1912">
        <v>0.14899999999999999</v>
      </c>
      <c r="E297" s="1912">
        <v>0.15</v>
      </c>
      <c r="F297" s="1913">
        <v>0.13700000000000001</v>
      </c>
    </row>
    <row r="298" spans="1:6" ht="14.25" thickBot="1">
      <c r="A298" s="1341" t="s">
        <v>1476</v>
      </c>
      <c r="B298" s="1335" t="s">
        <v>1204</v>
      </c>
      <c r="C298" s="1912">
        <v>0.13400000000000001</v>
      </c>
      <c r="D298" s="1912">
        <v>0.13400000000000001</v>
      </c>
      <c r="E298" s="1912">
        <v>0.14499999999999999</v>
      </c>
      <c r="F298" s="1913">
        <v>0.14799999999999999</v>
      </c>
    </row>
    <row r="299" spans="1:6" ht="14.25" thickBot="1">
      <c r="A299" s="1341" t="s">
        <v>1476</v>
      </c>
      <c r="B299" s="1335" t="s">
        <v>1217</v>
      </c>
      <c r="C299" s="1912">
        <v>0.15</v>
      </c>
      <c r="D299" s="1912">
        <v>0.15</v>
      </c>
      <c r="E299" s="1912">
        <v>0.15</v>
      </c>
      <c r="F299" s="1917"/>
    </row>
    <row r="300" spans="1:6" ht="14.25" thickBot="1">
      <c r="A300" s="1341" t="s">
        <v>1476</v>
      </c>
      <c r="B300" s="1335" t="s">
        <v>2146</v>
      </c>
      <c r="C300" s="1912">
        <v>0.15</v>
      </c>
      <c r="D300" s="1912">
        <v>0.15</v>
      </c>
      <c r="E300" s="1912">
        <v>0.15</v>
      </c>
      <c r="F300" s="1913">
        <v>0.15</v>
      </c>
    </row>
    <row r="301" spans="1:6" ht="14.25" thickBot="1">
      <c r="A301" s="1341" t="s">
        <v>1476</v>
      </c>
      <c r="B301" s="1335" t="s">
        <v>1239</v>
      </c>
      <c r="C301" s="1912">
        <v>0.15</v>
      </c>
      <c r="D301" s="1912">
        <v>0.15</v>
      </c>
      <c r="E301" s="1912">
        <v>0.15</v>
      </c>
      <c r="F301" s="1917"/>
    </row>
    <row r="302" spans="1:6" ht="14.25" thickBot="1">
      <c r="A302" s="1341" t="s">
        <v>1476</v>
      </c>
      <c r="B302" s="1335" t="s">
        <v>2147</v>
      </c>
      <c r="C302" s="1912">
        <v>0.15</v>
      </c>
      <c r="D302" s="1912">
        <v>0.15</v>
      </c>
      <c r="E302" s="1912">
        <v>0.15</v>
      </c>
      <c r="F302" s="1913">
        <v>0.15</v>
      </c>
    </row>
    <row r="303" spans="1:6" ht="14.25" thickBot="1">
      <c r="A303" s="1341" t="s">
        <v>1476</v>
      </c>
      <c r="B303" s="1335" t="s">
        <v>1261</v>
      </c>
      <c r="C303" s="1912">
        <v>0.15</v>
      </c>
      <c r="D303" s="1912">
        <v>0.15</v>
      </c>
      <c r="E303" s="1912">
        <v>0.15</v>
      </c>
      <c r="F303" s="1913">
        <v>0.15</v>
      </c>
    </row>
    <row r="304" spans="1:6" ht="14.25" thickBot="1">
      <c r="A304" s="1341" t="s">
        <v>1476</v>
      </c>
      <c r="B304" s="1335" t="s">
        <v>1272</v>
      </c>
      <c r="C304" s="1912">
        <v>0.15</v>
      </c>
      <c r="D304" s="1912">
        <v>0.15</v>
      </c>
      <c r="E304" s="1912">
        <v>0.15</v>
      </c>
      <c r="F304" s="1917"/>
    </row>
    <row r="305" spans="1:6" ht="14.25" thickBot="1">
      <c r="A305" s="1341" t="s">
        <v>1476</v>
      </c>
      <c r="B305" s="1335" t="s">
        <v>2148</v>
      </c>
      <c r="C305" s="1912">
        <v>0.15</v>
      </c>
      <c r="D305" s="1912">
        <v>0.15</v>
      </c>
      <c r="E305" s="1912">
        <v>0.15</v>
      </c>
      <c r="F305" s="1913">
        <v>0.14000000000000001</v>
      </c>
    </row>
    <row r="306" spans="1:6" ht="14.25" thickBot="1">
      <c r="A306" s="1341" t="s">
        <v>1476</v>
      </c>
      <c r="B306" s="1335" t="s">
        <v>1293</v>
      </c>
      <c r="C306" s="1912">
        <v>0.15</v>
      </c>
      <c r="D306" s="1912">
        <v>0.15</v>
      </c>
      <c r="E306" s="1912">
        <v>0.15</v>
      </c>
      <c r="F306" s="1917"/>
    </row>
    <row r="307" spans="1:6" ht="14.25" thickBot="1">
      <c r="A307" s="1341" t="s">
        <v>1476</v>
      </c>
      <c r="B307" s="1335" t="s">
        <v>2149</v>
      </c>
      <c r="C307" s="1912">
        <v>0.15</v>
      </c>
      <c r="D307" s="1912">
        <v>0.15</v>
      </c>
      <c r="E307" s="1912">
        <v>0.15</v>
      </c>
      <c r="F307" s="1913">
        <v>0.14299999999999999</v>
      </c>
    </row>
    <row r="308" spans="1:6" ht="14.25" thickBot="1">
      <c r="A308" s="1341" t="s">
        <v>1476</v>
      </c>
      <c r="B308" s="1335" t="s">
        <v>1313</v>
      </c>
      <c r="C308" s="1912">
        <v>0.15</v>
      </c>
      <c r="D308" s="1912">
        <v>0.15</v>
      </c>
      <c r="E308" s="1912">
        <v>0.15</v>
      </c>
      <c r="F308" s="1913">
        <v>0.15</v>
      </c>
    </row>
    <row r="309" spans="1:6" ht="14.25" thickBot="1">
      <c r="A309" s="1341" t="s">
        <v>1476</v>
      </c>
      <c r="B309" s="1335" t="s">
        <v>1323</v>
      </c>
      <c r="C309" s="1912">
        <v>0.15</v>
      </c>
      <c r="D309" s="1912">
        <v>0.15</v>
      </c>
      <c r="E309" s="1912">
        <v>0.15</v>
      </c>
      <c r="F309" s="1917"/>
    </row>
    <row r="310" spans="1:6" ht="14.25" thickBot="1">
      <c r="A310" s="1341" t="s">
        <v>1476</v>
      </c>
      <c r="B310" s="1335" t="s">
        <v>2150</v>
      </c>
      <c r="C310" s="1912">
        <v>0.15</v>
      </c>
      <c r="D310" s="1912">
        <v>0.15</v>
      </c>
      <c r="E310" s="1912">
        <v>0.15</v>
      </c>
      <c r="F310" s="1913">
        <v>0.13700000000000001</v>
      </c>
    </row>
    <row r="311" spans="1:6" ht="14.25" thickBot="1">
      <c r="A311" s="1341" t="s">
        <v>1476</v>
      </c>
      <c r="B311" s="1335" t="s">
        <v>2151</v>
      </c>
      <c r="C311" s="1912">
        <v>0.15</v>
      </c>
      <c r="D311" s="1912">
        <v>0.15</v>
      </c>
      <c r="E311" s="1912">
        <v>0.15</v>
      </c>
      <c r="F311" s="1913">
        <v>0.15</v>
      </c>
    </row>
    <row r="312" spans="1:6" ht="14.25" thickBot="1">
      <c r="A312" s="1341" t="s">
        <v>1476</v>
      </c>
      <c r="B312" s="1335" t="s">
        <v>1349</v>
      </c>
      <c r="C312" s="1912">
        <v>0.15</v>
      </c>
      <c r="D312" s="1912">
        <v>0.15</v>
      </c>
      <c r="E312" s="1912">
        <v>0.15</v>
      </c>
      <c r="F312" s="1913">
        <v>0.1</v>
      </c>
    </row>
    <row r="313" spans="1:6" ht="14.25" thickBot="1">
      <c r="A313" s="1341" t="s">
        <v>1476</v>
      </c>
      <c r="B313" s="1335" t="s">
        <v>2152</v>
      </c>
      <c r="C313" s="1912">
        <v>0.15</v>
      </c>
      <c r="D313" s="1912">
        <v>0.15</v>
      </c>
      <c r="E313" s="1912">
        <v>0.15</v>
      </c>
      <c r="F313" s="1913">
        <v>0.15</v>
      </c>
    </row>
    <row r="314" spans="1:6" ht="24.75" thickBot="1">
      <c r="A314" s="1341" t="s">
        <v>1476</v>
      </c>
      <c r="B314" s="1335" t="s">
        <v>2153</v>
      </c>
      <c r="C314" s="1918"/>
      <c r="D314" s="1918"/>
      <c r="E314" s="1918"/>
      <c r="F314" s="1913">
        <v>0.05</v>
      </c>
    </row>
    <row r="315" spans="1:6" ht="24.75" thickBot="1">
      <c r="A315" s="1341" t="s">
        <v>1476</v>
      </c>
      <c r="B315" s="1335" t="s">
        <v>2154</v>
      </c>
      <c r="C315" s="1918"/>
      <c r="D315" s="1918"/>
      <c r="E315" s="1918"/>
      <c r="F315" s="1913">
        <v>0.05</v>
      </c>
    </row>
    <row r="316" spans="1:6" ht="24.75" thickBot="1">
      <c r="A316" s="1358" t="s">
        <v>1476</v>
      </c>
      <c r="B316" s="1351" t="s">
        <v>2155</v>
      </c>
      <c r="C316" s="1915"/>
      <c r="D316" s="1915"/>
      <c r="E316" s="1915"/>
      <c r="F316" s="1919">
        <v>0.05</v>
      </c>
    </row>
    <row r="317" spans="1:6" ht="14.25" thickBot="1">
      <c r="A317" s="1341" t="s">
        <v>2156</v>
      </c>
      <c r="B317" s="1342" t="s">
        <v>2157</v>
      </c>
      <c r="C317" s="1910">
        <v>0.15</v>
      </c>
      <c r="D317" s="1910">
        <v>0.15</v>
      </c>
      <c r="E317" s="1910">
        <v>0.15</v>
      </c>
      <c r="F317" s="1911">
        <v>0.15</v>
      </c>
    </row>
    <row r="318" spans="1:6" ht="14.25" thickBot="1">
      <c r="A318" s="1341" t="s">
        <v>2156</v>
      </c>
      <c r="B318" s="1335" t="s">
        <v>2158</v>
      </c>
      <c r="C318" s="1912">
        <v>0.107</v>
      </c>
      <c r="D318" s="1912">
        <v>0.11</v>
      </c>
      <c r="E318" s="1912">
        <v>0.112</v>
      </c>
      <c r="F318" s="1917"/>
    </row>
    <row r="319" spans="1:6" ht="14.25" thickBot="1">
      <c r="A319" s="1341" t="s">
        <v>2156</v>
      </c>
      <c r="B319" s="1335" t="s">
        <v>2159</v>
      </c>
      <c r="C319" s="1912">
        <v>0.15</v>
      </c>
      <c r="D319" s="1912">
        <v>0.15</v>
      </c>
      <c r="E319" s="1912">
        <v>0.15</v>
      </c>
      <c r="F319" s="1913">
        <v>0.15</v>
      </c>
    </row>
    <row r="320" spans="1:6" ht="14.25" thickBot="1">
      <c r="A320" s="1341" t="s">
        <v>2156</v>
      </c>
      <c r="B320" s="1335" t="s">
        <v>1157</v>
      </c>
      <c r="C320" s="1912">
        <v>0.15</v>
      </c>
      <c r="D320" s="1912">
        <v>0.15</v>
      </c>
      <c r="E320" s="1912">
        <v>0.15</v>
      </c>
      <c r="F320" s="1917"/>
    </row>
    <row r="321" spans="1:6" ht="14.25" thickBot="1">
      <c r="A321" s="1341" t="s">
        <v>2156</v>
      </c>
      <c r="B321" s="1335" t="s">
        <v>2160</v>
      </c>
      <c r="C321" s="1912">
        <v>0.15</v>
      </c>
      <c r="D321" s="1912">
        <v>0.15</v>
      </c>
      <c r="E321" s="1912">
        <v>0.15</v>
      </c>
      <c r="F321" s="1917"/>
    </row>
    <row r="322" spans="1:6" ht="14.25" thickBot="1">
      <c r="A322" s="1341" t="s">
        <v>2156</v>
      </c>
      <c r="B322" s="1335" t="s">
        <v>2161</v>
      </c>
      <c r="C322" s="1912">
        <v>0.15</v>
      </c>
      <c r="D322" s="1912">
        <v>0.15</v>
      </c>
      <c r="E322" s="1912">
        <v>0.15</v>
      </c>
      <c r="F322" s="1913">
        <v>0.15</v>
      </c>
    </row>
    <row r="323" spans="1:6" ht="14.25" thickBot="1">
      <c r="A323" s="1341" t="s">
        <v>2156</v>
      </c>
      <c r="B323" s="1335" t="s">
        <v>2162</v>
      </c>
      <c r="C323" s="1912">
        <v>0.15</v>
      </c>
      <c r="D323" s="1912">
        <v>0.15</v>
      </c>
      <c r="E323" s="1912">
        <v>0.15</v>
      </c>
      <c r="F323" s="1917"/>
    </row>
    <row r="324" spans="1:6" ht="14.25" thickBot="1">
      <c r="A324" s="1341" t="s">
        <v>2156</v>
      </c>
      <c r="B324" s="1335" t="s">
        <v>2163</v>
      </c>
      <c r="C324" s="1912">
        <v>0.15</v>
      </c>
      <c r="D324" s="1912">
        <v>0.15</v>
      </c>
      <c r="E324" s="1912">
        <v>0.15</v>
      </c>
      <c r="F324" s="1917"/>
    </row>
    <row r="325" spans="1:6" ht="14.25" thickBot="1">
      <c r="A325" s="1341" t="s">
        <v>2156</v>
      </c>
      <c r="B325" s="1335" t="s">
        <v>2164</v>
      </c>
      <c r="C325" s="1912">
        <v>0.15</v>
      </c>
      <c r="D325" s="1912">
        <v>0.15</v>
      </c>
      <c r="E325" s="1912">
        <v>0.15</v>
      </c>
      <c r="F325" s="1913">
        <v>0.14699999999999999</v>
      </c>
    </row>
    <row r="326" spans="1:6" ht="14.25" thickBot="1">
      <c r="A326" s="1341" t="s">
        <v>2156</v>
      </c>
      <c r="B326" s="1335" t="s">
        <v>1229</v>
      </c>
      <c r="C326" s="1912">
        <v>0.15</v>
      </c>
      <c r="D326" s="1912">
        <v>0.15</v>
      </c>
      <c r="E326" s="1912">
        <v>0.15</v>
      </c>
      <c r="F326" s="1917"/>
    </row>
    <row r="327" spans="1:6" ht="14.25" thickBot="1">
      <c r="A327" s="1341" t="s">
        <v>2156</v>
      </c>
      <c r="B327" s="1335" t="s">
        <v>2165</v>
      </c>
      <c r="C327" s="1912">
        <v>0.15</v>
      </c>
      <c r="D327" s="1912">
        <v>0.15</v>
      </c>
      <c r="E327" s="1912">
        <v>0.15</v>
      </c>
      <c r="F327" s="1913">
        <v>0.15</v>
      </c>
    </row>
    <row r="328" spans="1:6" ht="14.25" thickBot="1">
      <c r="A328" s="1341" t="s">
        <v>2156</v>
      </c>
      <c r="B328" s="1335" t="s">
        <v>1251</v>
      </c>
      <c r="C328" s="1912">
        <v>0.15</v>
      </c>
      <c r="D328" s="1912">
        <v>0.15</v>
      </c>
      <c r="E328" s="1912">
        <v>0.15</v>
      </c>
      <c r="F328" s="1913">
        <v>0.14099999999999999</v>
      </c>
    </row>
    <row r="329" spans="1:6" ht="14.25" thickBot="1">
      <c r="A329" s="1341" t="s">
        <v>2156</v>
      </c>
      <c r="B329" s="1335" t="s">
        <v>1262</v>
      </c>
      <c r="C329" s="1912">
        <v>0.15</v>
      </c>
      <c r="D329" s="1912">
        <v>0.15</v>
      </c>
      <c r="E329" s="1912">
        <v>0.15</v>
      </c>
      <c r="F329" s="1913">
        <v>0.15</v>
      </c>
    </row>
    <row r="330" spans="1:6" ht="14.25" thickBot="1">
      <c r="A330" s="1341" t="s">
        <v>2156</v>
      </c>
      <c r="B330" s="1335" t="s">
        <v>1273</v>
      </c>
      <c r="C330" s="1912">
        <v>0.15</v>
      </c>
      <c r="D330" s="1912">
        <v>0.15</v>
      </c>
      <c r="E330" s="1912">
        <v>0.15</v>
      </c>
      <c r="F330" s="1917"/>
    </row>
    <row r="331" spans="1:6" ht="14.25" thickBot="1">
      <c r="A331" s="1341" t="s">
        <v>2156</v>
      </c>
      <c r="B331" s="1335" t="s">
        <v>2166</v>
      </c>
      <c r="C331" s="1912">
        <v>0.15</v>
      </c>
      <c r="D331" s="1912">
        <v>0.15</v>
      </c>
      <c r="E331" s="1912">
        <v>0.15</v>
      </c>
      <c r="F331" s="1913">
        <v>0.15</v>
      </c>
    </row>
    <row r="332" spans="1:6" ht="14.25" thickBot="1">
      <c r="A332" s="1341" t="s">
        <v>2156</v>
      </c>
      <c r="B332" s="1335" t="s">
        <v>1294</v>
      </c>
      <c r="C332" s="1912">
        <v>0.15</v>
      </c>
      <c r="D332" s="1912">
        <v>0.15</v>
      </c>
      <c r="E332" s="1912">
        <v>0.15</v>
      </c>
      <c r="F332" s="1913">
        <v>0.15</v>
      </c>
    </row>
    <row r="333" spans="1:6" ht="14.25" thickBot="1">
      <c r="A333" s="1341" t="s">
        <v>2156</v>
      </c>
      <c r="B333" s="1335" t="s">
        <v>2167</v>
      </c>
      <c r="C333" s="1912">
        <v>0.15</v>
      </c>
      <c r="D333" s="1912">
        <v>0.15</v>
      </c>
      <c r="E333" s="1912">
        <v>0.15</v>
      </c>
      <c r="F333" s="1913">
        <v>0.14099999999999999</v>
      </c>
    </row>
    <row r="334" spans="1:6" ht="14.25" thickBot="1">
      <c r="A334" s="1341" t="s">
        <v>2156</v>
      </c>
      <c r="B334" s="1335" t="s">
        <v>1314</v>
      </c>
      <c r="C334" s="1912">
        <v>0.15</v>
      </c>
      <c r="D334" s="1912">
        <v>0.15</v>
      </c>
      <c r="E334" s="1912">
        <v>0.15</v>
      </c>
      <c r="F334" s="1913">
        <v>0.15</v>
      </c>
    </row>
    <row r="335" spans="1:6" ht="14.25" thickBot="1">
      <c r="A335" s="1341" t="s">
        <v>2156</v>
      </c>
      <c r="B335" s="1335" t="s">
        <v>1324</v>
      </c>
      <c r="C335" s="1912">
        <v>0.15</v>
      </c>
      <c r="D335" s="1912">
        <v>0.15</v>
      </c>
      <c r="E335" s="1912">
        <v>0.15</v>
      </c>
      <c r="F335" s="1917"/>
    </row>
    <row r="336" spans="1:6" ht="14.25" thickBot="1">
      <c r="A336" s="1341" t="s">
        <v>2156</v>
      </c>
      <c r="B336" s="1335" t="s">
        <v>2168</v>
      </c>
      <c r="C336" s="1912">
        <v>0.15</v>
      </c>
      <c r="D336" s="1912">
        <v>0.15</v>
      </c>
      <c r="E336" s="1912">
        <v>0.15</v>
      </c>
      <c r="F336" s="1913">
        <v>0.11799999999999999</v>
      </c>
    </row>
    <row r="337" spans="1:6" ht="14.25" thickBot="1">
      <c r="A337" s="1358" t="s">
        <v>2156</v>
      </c>
      <c r="B337" s="1351" t="s">
        <v>1342</v>
      </c>
      <c r="C337" s="1915"/>
      <c r="D337" s="1915"/>
      <c r="E337" s="1915"/>
      <c r="F337" s="1919">
        <v>0.14299999999999999</v>
      </c>
    </row>
    <row r="338" spans="1:6" ht="14.25" thickBot="1">
      <c r="A338" s="1341" t="s">
        <v>2169</v>
      </c>
      <c r="B338" s="1342" t="s">
        <v>2170</v>
      </c>
      <c r="C338" s="1910">
        <v>0.15</v>
      </c>
      <c r="D338" s="1910">
        <v>0.15</v>
      </c>
      <c r="E338" s="1910">
        <v>0.15</v>
      </c>
      <c r="F338" s="1927"/>
    </row>
    <row r="339" spans="1:6" ht="14.25" thickBot="1">
      <c r="A339" s="1341" t="s">
        <v>2169</v>
      </c>
      <c r="B339" s="1335" t="s">
        <v>2171</v>
      </c>
      <c r="C339" s="1912">
        <v>0.15</v>
      </c>
      <c r="D339" s="1912">
        <v>0.15</v>
      </c>
      <c r="E339" s="1912">
        <v>0.15</v>
      </c>
      <c r="F339" s="1917"/>
    </row>
    <row r="340" spans="1:6" ht="14.25" thickBot="1">
      <c r="A340" s="1341" t="s">
        <v>2169</v>
      </c>
      <c r="B340" s="1335" t="s">
        <v>2172</v>
      </c>
      <c r="C340" s="1912">
        <v>0.15</v>
      </c>
      <c r="D340" s="1912">
        <v>0.15</v>
      </c>
      <c r="E340" s="1912">
        <v>0.15</v>
      </c>
      <c r="F340" s="1917"/>
    </row>
    <row r="341" spans="1:6" ht="14.25" thickBot="1">
      <c r="A341" s="1341" t="s">
        <v>2169</v>
      </c>
      <c r="B341" s="1335" t="s">
        <v>2173</v>
      </c>
      <c r="C341" s="1912">
        <v>0.15</v>
      </c>
      <c r="D341" s="1912">
        <v>0.15</v>
      </c>
      <c r="E341" s="1912">
        <v>0.15</v>
      </c>
      <c r="F341" s="1913">
        <v>0.15</v>
      </c>
    </row>
    <row r="342" spans="1:6" ht="14.25" thickBot="1">
      <c r="A342" s="1341" t="s">
        <v>2169</v>
      </c>
      <c r="B342" s="1335" t="s">
        <v>2174</v>
      </c>
      <c r="C342" s="1912">
        <v>0.15</v>
      </c>
      <c r="D342" s="1912">
        <v>0.15</v>
      </c>
      <c r="E342" s="1912">
        <v>0.15</v>
      </c>
      <c r="F342" s="1913">
        <v>0.15</v>
      </c>
    </row>
    <row r="343" spans="1:6" ht="14.25" thickBot="1">
      <c r="A343" s="1341" t="s">
        <v>2169</v>
      </c>
      <c r="B343" s="1335" t="s">
        <v>2175</v>
      </c>
      <c r="C343" s="1912">
        <v>0.15</v>
      </c>
      <c r="D343" s="1912">
        <v>0.15</v>
      </c>
      <c r="E343" s="1912">
        <v>0.15</v>
      </c>
      <c r="F343" s="1913">
        <v>0.15</v>
      </c>
    </row>
    <row r="344" spans="1:6" ht="14.25" thickBot="1">
      <c r="A344" s="1358" t="s">
        <v>2169</v>
      </c>
      <c r="B344" s="1351" t="s">
        <v>2176</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6" t="s">
        <v>1693</v>
      </c>
      <c r="B1" s="1297"/>
      <c r="C1" s="2246"/>
      <c r="D1" s="2247"/>
      <c r="E1" s="2247"/>
      <c r="F1" s="2248"/>
      <c r="G1" s="2249"/>
      <c r="H1" s="2248"/>
      <c r="I1" s="2249"/>
      <c r="J1" s="2249"/>
      <c r="K1" s="2249"/>
      <c r="L1" s="2249"/>
      <c r="M1" s="2249"/>
      <c r="N1" s="2250"/>
      <c r="O1" s="2250"/>
      <c r="P1" s="2250"/>
      <c r="Q1" s="2250"/>
      <c r="R1" s="2250"/>
      <c r="S1" s="2250"/>
      <c r="T1" s="2250"/>
    </row>
    <row r="2" spans="1:20" ht="18" customHeight="1">
      <c r="A2" s="1299" t="s">
        <v>1117</v>
      </c>
      <c r="B2" s="1300">
        <f>1+F4</f>
        <v>1.0128999999999999</v>
      </c>
      <c r="C2" s="1301"/>
      <c r="D2" s="1302"/>
      <c r="E2" s="1302"/>
      <c r="F2" s="1303"/>
      <c r="G2" s="2252"/>
      <c r="H2" s="2248"/>
      <c r="I2" s="2249"/>
      <c r="J2" s="2249"/>
      <c r="K2" s="2249"/>
      <c r="L2" s="2249"/>
      <c r="M2" s="2249"/>
    </row>
    <row r="3" spans="1:20" ht="13.5">
      <c r="A3" s="1305" t="s">
        <v>1694</v>
      </c>
      <c r="B3" s="1306" t="s">
        <v>1695</v>
      </c>
      <c r="C3" s="1307" t="s">
        <v>1696</v>
      </c>
      <c r="D3" s="1308" t="s">
        <v>1779</v>
      </c>
      <c r="E3" s="1308" t="s">
        <v>1780</v>
      </c>
      <c r="F3" s="1309" t="s">
        <v>1781</v>
      </c>
      <c r="G3" s="1310" t="s">
        <v>2177</v>
      </c>
      <c r="H3" s="1308" t="s">
        <v>1774</v>
      </c>
      <c r="I3" s="805" t="s">
        <v>439</v>
      </c>
      <c r="J3" s="805" t="s">
        <v>440</v>
      </c>
      <c r="K3" s="805" t="s">
        <v>441</v>
      </c>
      <c r="L3" s="805" t="s">
        <v>442</v>
      </c>
      <c r="M3" s="805" t="s">
        <v>443</v>
      </c>
    </row>
    <row r="4" spans="1:20" ht="24">
      <c r="A4" s="1305" t="s">
        <v>1697</v>
      </c>
      <c r="B4" s="1311" t="str">
        <f>估价对象房地状况!C4</f>
        <v>估价对象位于XX商圈，周边商业氛围成熟，人流量大，商业繁华度好</v>
      </c>
      <c r="C4" s="1292" t="s">
        <v>1698</v>
      </c>
      <c r="D4" s="1312">
        <f>SUMIF($I$3:$M$3,C4,I4:M4)</f>
        <v>0.02</v>
      </c>
      <c r="E4" s="1313">
        <v>0.33</v>
      </c>
      <c r="F4" s="1314">
        <f>D4*E4+D5*E5+D6*E6+D7*E7+D8*E8+D9*E9+D10*E10+D11*E11+D12*E12</f>
        <v>1.29E-2</v>
      </c>
      <c r="G4" s="1315" t="str">
        <f>IF(基准地价修正!E2="商业",SUMIF(基准地价修正!L1:L12,基准地价修正!G2,基准地价修正!N1:N12),"——")</f>
        <v>——</v>
      </c>
      <c r="H4" s="1592">
        <v>0.02</v>
      </c>
      <c r="I4" s="1290">
        <f>J4+$H4</f>
        <v>0.04</v>
      </c>
      <c r="J4" s="1290">
        <f>$K4+$H4</f>
        <v>0.02</v>
      </c>
      <c r="K4" s="1289">
        <v>0</v>
      </c>
      <c r="L4" s="1290">
        <f t="shared" ref="L4:M12" si="0">K4-$H4</f>
        <v>-0.02</v>
      </c>
      <c r="M4" s="1290">
        <f t="shared" si="0"/>
        <v>-0.04</v>
      </c>
    </row>
    <row r="5" spans="1:20" ht="24">
      <c r="A5" s="1305" t="s">
        <v>1699</v>
      </c>
      <c r="B5" s="1316" t="str">
        <f>估价对象房地状况!C6</f>
        <v>估价对象周边道路状况、公共交通通达情况、停车便捷程度，综合评价交通便捷度较好</v>
      </c>
      <c r="C5" s="1292" t="s">
        <v>103</v>
      </c>
      <c r="D5" s="1312">
        <f t="shared" ref="D5:D12" si="1">SUMIF($I$3:$M$3,C5,I5:M5)</f>
        <v>0</v>
      </c>
      <c r="E5" s="1313">
        <v>0.25</v>
      </c>
      <c r="F5" s="1317"/>
      <c r="G5" s="2253"/>
      <c r="H5" s="1592">
        <v>0.01</v>
      </c>
      <c r="I5" s="1290">
        <f t="shared" ref="I5:I12" si="2">J5+$H5</f>
        <v>0.02</v>
      </c>
      <c r="J5" s="1290">
        <f t="shared" ref="J5:J12" si="3">$K5+$H5</f>
        <v>0.01</v>
      </c>
      <c r="K5" s="1289">
        <v>0</v>
      </c>
      <c r="L5" s="1290">
        <f t="shared" si="0"/>
        <v>-0.01</v>
      </c>
      <c r="M5" s="1290">
        <f t="shared" si="0"/>
        <v>-0.02</v>
      </c>
    </row>
    <row r="6" spans="1:20" ht="14.25">
      <c r="A6" s="1305" t="s">
        <v>1700</v>
      </c>
      <c r="B6" s="1306">
        <f>估价对象房地状况!C19</f>
        <v>0</v>
      </c>
      <c r="C6" s="1292" t="s">
        <v>1698</v>
      </c>
      <c r="D6" s="1312">
        <f t="shared" si="1"/>
        <v>0.02</v>
      </c>
      <c r="E6" s="1313">
        <v>0.05</v>
      </c>
      <c r="F6" s="1317"/>
      <c r="G6" s="2253"/>
      <c r="H6" s="1592">
        <v>0.02</v>
      </c>
      <c r="I6" s="1290">
        <f t="shared" si="2"/>
        <v>0.04</v>
      </c>
      <c r="J6" s="1290">
        <f t="shared" si="3"/>
        <v>0.02</v>
      </c>
      <c r="K6" s="1289">
        <v>0</v>
      </c>
      <c r="L6" s="1290">
        <f t="shared" si="0"/>
        <v>-0.02</v>
      </c>
      <c r="M6" s="1290">
        <f t="shared" si="0"/>
        <v>-0.04</v>
      </c>
    </row>
    <row r="7" spans="1:20" ht="24">
      <c r="A7" s="1305" t="s">
        <v>1701</v>
      </c>
      <c r="B7" s="1293" t="s">
        <v>1782</v>
      </c>
      <c r="C7" s="1292" t="s">
        <v>125</v>
      </c>
      <c r="D7" s="1312">
        <f t="shared" si="1"/>
        <v>-0.02</v>
      </c>
      <c r="E7" s="1313">
        <v>0.05</v>
      </c>
      <c r="F7" s="1317"/>
      <c r="G7" s="2253"/>
      <c r="H7" s="1592">
        <v>0.01</v>
      </c>
      <c r="I7" s="1290">
        <f t="shared" si="2"/>
        <v>0.02</v>
      </c>
      <c r="J7" s="1290">
        <f t="shared" si="3"/>
        <v>0.01</v>
      </c>
      <c r="K7" s="1289">
        <v>0</v>
      </c>
      <c r="L7" s="1290">
        <f t="shared" si="0"/>
        <v>-0.01</v>
      </c>
      <c r="M7" s="1290">
        <f t="shared" si="0"/>
        <v>-0.02</v>
      </c>
    </row>
    <row r="8" spans="1:20" ht="14.25">
      <c r="A8" s="1305" t="s">
        <v>1702</v>
      </c>
      <c r="B8" s="1306">
        <f>估价对象房地状况!C10</f>
        <v>0</v>
      </c>
      <c r="C8" s="1292" t="s">
        <v>1698</v>
      </c>
      <c r="D8" s="1312">
        <f t="shared" si="1"/>
        <v>0.02</v>
      </c>
      <c r="E8" s="1313">
        <v>0.08</v>
      </c>
      <c r="F8" s="1317"/>
      <c r="G8" s="2253"/>
      <c r="H8" s="1592">
        <v>0.02</v>
      </c>
      <c r="I8" s="1290">
        <f t="shared" si="2"/>
        <v>0.04</v>
      </c>
      <c r="J8" s="1290">
        <f t="shared" si="3"/>
        <v>0.02</v>
      </c>
      <c r="K8" s="1289">
        <v>0</v>
      </c>
      <c r="L8" s="1290">
        <f t="shared" si="0"/>
        <v>-0.02</v>
      </c>
      <c r="M8" s="1290">
        <f t="shared" si="0"/>
        <v>-0.04</v>
      </c>
    </row>
    <row r="9" spans="1:20" ht="14.25">
      <c r="A9" s="1305" t="s">
        <v>1703</v>
      </c>
      <c r="B9" s="1294" t="s">
        <v>1783</v>
      </c>
      <c r="C9" s="1292" t="s">
        <v>1698</v>
      </c>
      <c r="D9" s="1312">
        <f t="shared" si="1"/>
        <v>0.01</v>
      </c>
      <c r="E9" s="1313">
        <v>0.03</v>
      </c>
      <c r="F9" s="1317"/>
      <c r="G9" s="2253"/>
      <c r="H9" s="1592">
        <v>0.01</v>
      </c>
      <c r="I9" s="1290">
        <f t="shared" si="2"/>
        <v>0.02</v>
      </c>
      <c r="J9" s="1290">
        <f t="shared" si="3"/>
        <v>0.01</v>
      </c>
      <c r="K9" s="1289">
        <v>0</v>
      </c>
      <c r="L9" s="1290">
        <f t="shared" si="0"/>
        <v>-0.01</v>
      </c>
      <c r="M9" s="1290">
        <f t="shared" si="0"/>
        <v>-0.02</v>
      </c>
    </row>
    <row r="10" spans="1:20" ht="14.25">
      <c r="A10" s="1318" t="s">
        <v>1704</v>
      </c>
      <c r="B10" s="2072" t="str">
        <f>估价对象房地状况!C7</f>
        <v>估价对象所在区域公共配套设施齐备情况</v>
      </c>
      <c r="C10" s="1292" t="s">
        <v>101</v>
      </c>
      <c r="D10" s="1312">
        <f t="shared" si="1"/>
        <v>0.04</v>
      </c>
      <c r="E10" s="1313">
        <v>0.05</v>
      </c>
      <c r="F10" s="1317"/>
      <c r="G10" s="2253"/>
      <c r="H10" s="1592">
        <v>0.02</v>
      </c>
      <c r="I10" s="1290">
        <f t="shared" si="2"/>
        <v>0.04</v>
      </c>
      <c r="J10" s="1290">
        <f t="shared" si="3"/>
        <v>0.02</v>
      </c>
      <c r="K10" s="1289">
        <v>0</v>
      </c>
      <c r="L10" s="1290">
        <f t="shared" si="0"/>
        <v>-0.02</v>
      </c>
      <c r="M10" s="1290">
        <f t="shared" si="0"/>
        <v>-0.04</v>
      </c>
    </row>
    <row r="11" spans="1:20" ht="14.25">
      <c r="A11" s="1318" t="s">
        <v>1705</v>
      </c>
      <c r="B11" s="2073"/>
      <c r="C11" s="1292" t="s">
        <v>103</v>
      </c>
      <c r="D11" s="1312">
        <f t="shared" si="1"/>
        <v>0</v>
      </c>
      <c r="E11" s="1313">
        <v>0.1</v>
      </c>
      <c r="F11" s="1317"/>
      <c r="G11" s="2253"/>
      <c r="H11" s="1592">
        <v>0.01</v>
      </c>
      <c r="I11" s="1290">
        <f t="shared" si="2"/>
        <v>0.02</v>
      </c>
      <c r="J11" s="1290">
        <f t="shared" si="3"/>
        <v>0.01</v>
      </c>
      <c r="K11" s="1289">
        <v>0</v>
      </c>
      <c r="L11" s="1290">
        <f t="shared" si="0"/>
        <v>-0.01</v>
      </c>
      <c r="M11" s="1290">
        <f t="shared" si="0"/>
        <v>-0.02</v>
      </c>
    </row>
    <row r="12" spans="1:20" ht="15" thickBot="1">
      <c r="A12" s="1320" t="s">
        <v>1706</v>
      </c>
      <c r="B12" s="1321" t="str">
        <f>估价对象房地状况!C9</f>
        <v>区域自然环境：；人文环境；综合评价环境状况一般</v>
      </c>
      <c r="C12" s="1292" t="s">
        <v>101</v>
      </c>
      <c r="D12" s="1312">
        <f t="shared" si="1"/>
        <v>0.04</v>
      </c>
      <c r="E12" s="1322">
        <v>0.06</v>
      </c>
      <c r="F12" s="1323"/>
      <c r="G12" s="2253"/>
      <c r="H12" s="1592">
        <v>0.02</v>
      </c>
      <c r="I12" s="1290">
        <f t="shared" si="2"/>
        <v>0.04</v>
      </c>
      <c r="J12" s="1290">
        <f t="shared" si="3"/>
        <v>0.02</v>
      </c>
      <c r="K12" s="1289">
        <v>0</v>
      </c>
      <c r="L12" s="1290">
        <f t="shared" si="0"/>
        <v>-0.02</v>
      </c>
      <c r="M12" s="1290">
        <f t="shared" si="0"/>
        <v>-0.04</v>
      </c>
    </row>
    <row r="13" spans="1:20" ht="18" customHeight="1">
      <c r="A13" s="1299" t="s">
        <v>1118</v>
      </c>
      <c r="B13" s="1300">
        <f>1+F15</f>
        <v>1.0148999999999999</v>
      </c>
      <c r="C13" s="2254"/>
      <c r="D13" s="1302"/>
      <c r="E13" s="1302"/>
      <c r="F13" s="1303"/>
      <c r="G13" s="2252"/>
      <c r="H13" s="2248"/>
      <c r="I13" s="1298"/>
      <c r="J13" s="1298"/>
      <c r="K13" s="1298"/>
      <c r="L13" s="1298"/>
      <c r="M13" s="1298"/>
    </row>
    <row r="14" spans="1:20" ht="18" customHeight="1">
      <c r="A14" s="1305" t="s">
        <v>1694</v>
      </c>
      <c r="B14" s="1306"/>
      <c r="C14" s="1307" t="s">
        <v>1696</v>
      </c>
      <c r="D14" s="1308" t="s">
        <v>1776</v>
      </c>
      <c r="E14" s="1308" t="s">
        <v>1777</v>
      </c>
      <c r="F14" s="1309" t="s">
        <v>1778</v>
      </c>
      <c r="G14" s="1310" t="s">
        <v>2177</v>
      </c>
      <c r="H14" s="1308" t="s">
        <v>1774</v>
      </c>
      <c r="I14" s="805" t="s">
        <v>439</v>
      </c>
      <c r="J14" s="805" t="s">
        <v>440</v>
      </c>
      <c r="K14" s="805" t="s">
        <v>441</v>
      </c>
      <c r="L14" s="805" t="s">
        <v>442</v>
      </c>
      <c r="M14" s="805" t="s">
        <v>443</v>
      </c>
    </row>
    <row r="15" spans="1:20" ht="24">
      <c r="A15" s="1305" t="s">
        <v>1707</v>
      </c>
      <c r="B15" s="1311" t="str">
        <f>估价对象房地状况!C5</f>
        <v>估价对象位于XX商圈，周边办公楼项目较多，入驻率高，办公集聚程度较好</v>
      </c>
      <c r="C15" s="1292" t="s">
        <v>1698</v>
      </c>
      <c r="D15" s="1312">
        <f t="shared" ref="D15:D23" si="4">SUMIF($I$3:$M$3,C15,I15:M15)</f>
        <v>0.02</v>
      </c>
      <c r="E15" s="1313">
        <v>0.24</v>
      </c>
      <c r="F15" s="1314">
        <f>D15*E15+D16*E16+D17*E17+D18*E18+D19*E19+D20*E20+D21*E21+D22*E22+D23*E23</f>
        <v>1.49E-2</v>
      </c>
      <c r="G15" s="1315" t="str">
        <f>IF(基准地价修正!E2="办公",SUMIF(基准地价修正!L1:L12,基准地价修正!G2,基准地价修正!N1:N12),"——")</f>
        <v>——</v>
      </c>
      <c r="H15" s="1592">
        <v>0.02</v>
      </c>
      <c r="I15" s="1290">
        <f>J15+$H15</f>
        <v>0.04</v>
      </c>
      <c r="J15" s="1290">
        <f>$K15+$H15</f>
        <v>0.02</v>
      </c>
      <c r="K15" s="1289">
        <v>0</v>
      </c>
      <c r="L15" s="1290">
        <f t="shared" ref="L15:M23" si="5">K15-$H15</f>
        <v>-0.02</v>
      </c>
      <c r="M15" s="1290">
        <f t="shared" si="5"/>
        <v>-0.04</v>
      </c>
    </row>
    <row r="16" spans="1:20" ht="24">
      <c r="A16" s="1305" t="s">
        <v>1699</v>
      </c>
      <c r="B16" s="1306" t="str">
        <f>估价对象房地状况!C6</f>
        <v>估价对象周边道路状况、公共交通通达情况、停车便捷程度，综合评价交通便捷度较好</v>
      </c>
      <c r="C16" s="1292" t="s">
        <v>1698</v>
      </c>
      <c r="D16" s="1312">
        <f t="shared" si="4"/>
        <v>0.01</v>
      </c>
      <c r="E16" s="1313">
        <v>0.3</v>
      </c>
      <c r="F16" s="1317"/>
      <c r="G16" s="2253"/>
      <c r="H16" s="1592">
        <v>0.01</v>
      </c>
      <c r="I16" s="1290">
        <f t="shared" ref="I16:I23" si="6">J16+$H16</f>
        <v>0.02</v>
      </c>
      <c r="J16" s="1290">
        <f t="shared" ref="J16:J23" si="7">$K16+$H16</f>
        <v>0.01</v>
      </c>
      <c r="K16" s="1289">
        <v>0</v>
      </c>
      <c r="L16" s="1290">
        <f t="shared" si="5"/>
        <v>-0.01</v>
      </c>
      <c r="M16" s="1290">
        <f t="shared" si="5"/>
        <v>-0.02</v>
      </c>
    </row>
    <row r="17" spans="1:20" ht="14.25">
      <c r="A17" s="1305" t="s">
        <v>1700</v>
      </c>
      <c r="B17" s="1306">
        <f>估价对象房地状况!C19</f>
        <v>0</v>
      </c>
      <c r="C17" s="1292" t="s">
        <v>1698</v>
      </c>
      <c r="D17" s="1312">
        <f t="shared" si="4"/>
        <v>0.02</v>
      </c>
      <c r="E17" s="1313">
        <v>0.08</v>
      </c>
      <c r="F17" s="1317"/>
      <c r="G17" s="2253"/>
      <c r="H17" s="1592">
        <v>0.02</v>
      </c>
      <c r="I17" s="1290">
        <f t="shared" si="6"/>
        <v>0.04</v>
      </c>
      <c r="J17" s="1290">
        <f t="shared" si="7"/>
        <v>0.02</v>
      </c>
      <c r="K17" s="1289">
        <v>0</v>
      </c>
      <c r="L17" s="1290">
        <f t="shared" si="5"/>
        <v>-0.02</v>
      </c>
      <c r="M17" s="1290">
        <f t="shared" si="5"/>
        <v>-0.04</v>
      </c>
    </row>
    <row r="18" spans="1:20" ht="24">
      <c r="A18" s="1305" t="s">
        <v>1701</v>
      </c>
      <c r="B18" s="1293" t="s">
        <v>1782</v>
      </c>
      <c r="C18" s="1292" t="s">
        <v>102</v>
      </c>
      <c r="D18" s="1312">
        <f t="shared" si="4"/>
        <v>0.01</v>
      </c>
      <c r="E18" s="1313">
        <v>0.04</v>
      </c>
      <c r="F18" s="1317"/>
      <c r="G18" s="2253"/>
      <c r="H18" s="1592">
        <v>0.01</v>
      </c>
      <c r="I18" s="1290">
        <f t="shared" si="6"/>
        <v>0.02</v>
      </c>
      <c r="J18" s="1290">
        <f t="shared" si="7"/>
        <v>0.01</v>
      </c>
      <c r="K18" s="1289">
        <v>0</v>
      </c>
      <c r="L18" s="1290">
        <f t="shared" si="5"/>
        <v>-0.01</v>
      </c>
      <c r="M18" s="1290">
        <f t="shared" si="5"/>
        <v>-0.02</v>
      </c>
    </row>
    <row r="19" spans="1:20" ht="14.25">
      <c r="A19" s="1305" t="s">
        <v>1702</v>
      </c>
      <c r="B19" s="1306">
        <f>估价对象房地状况!C10</f>
        <v>0</v>
      </c>
      <c r="C19" s="1292" t="s">
        <v>1698</v>
      </c>
      <c r="D19" s="1312">
        <f t="shared" si="4"/>
        <v>0.02</v>
      </c>
      <c r="E19" s="1313">
        <v>0.05</v>
      </c>
      <c r="F19" s="1317"/>
      <c r="G19" s="2253"/>
      <c r="H19" s="1592">
        <v>0.02</v>
      </c>
      <c r="I19" s="1290">
        <f t="shared" si="6"/>
        <v>0.04</v>
      </c>
      <c r="J19" s="1290">
        <f t="shared" si="7"/>
        <v>0.02</v>
      </c>
      <c r="K19" s="1289">
        <v>0</v>
      </c>
      <c r="L19" s="1290">
        <f t="shared" si="5"/>
        <v>-0.02</v>
      </c>
      <c r="M19" s="1290">
        <f t="shared" si="5"/>
        <v>-0.04</v>
      </c>
    </row>
    <row r="20" spans="1:20" ht="14.25">
      <c r="A20" s="1305" t="s">
        <v>1703</v>
      </c>
      <c r="B20" s="1294" t="s">
        <v>1783</v>
      </c>
      <c r="C20" s="1292" t="s">
        <v>1698</v>
      </c>
      <c r="D20" s="1312">
        <f t="shared" si="4"/>
        <v>0.01</v>
      </c>
      <c r="E20" s="1313">
        <v>0.05</v>
      </c>
      <c r="F20" s="1317"/>
      <c r="G20" s="2253"/>
      <c r="H20" s="1592">
        <v>0.01</v>
      </c>
      <c r="I20" s="1290">
        <f t="shared" si="6"/>
        <v>0.02</v>
      </c>
      <c r="J20" s="1290">
        <f t="shared" si="7"/>
        <v>0.01</v>
      </c>
      <c r="K20" s="1289">
        <v>0</v>
      </c>
      <c r="L20" s="1290">
        <f t="shared" si="5"/>
        <v>-0.01</v>
      </c>
      <c r="M20" s="1290">
        <f t="shared" si="5"/>
        <v>-0.02</v>
      </c>
    </row>
    <row r="21" spans="1:20" ht="14.25">
      <c r="A21" s="1305" t="s">
        <v>1704</v>
      </c>
      <c r="B21" s="2072" t="str">
        <f>估价对象房地状况!C7</f>
        <v>估价对象所在区域公共配套设施齐备情况</v>
      </c>
      <c r="C21" s="1292" t="s">
        <v>1698</v>
      </c>
      <c r="D21" s="1312">
        <f t="shared" si="4"/>
        <v>0.02</v>
      </c>
      <c r="E21" s="1313">
        <v>0.06</v>
      </c>
      <c r="F21" s="1317"/>
      <c r="G21" s="2253"/>
      <c r="H21" s="1592">
        <v>0.02</v>
      </c>
      <c r="I21" s="1290">
        <f t="shared" si="6"/>
        <v>0.04</v>
      </c>
      <c r="J21" s="1290">
        <f t="shared" si="7"/>
        <v>0.02</v>
      </c>
      <c r="K21" s="1289">
        <v>0</v>
      </c>
      <c r="L21" s="1290">
        <f t="shared" si="5"/>
        <v>-0.02</v>
      </c>
      <c r="M21" s="1290">
        <f t="shared" si="5"/>
        <v>-0.04</v>
      </c>
    </row>
    <row r="22" spans="1:20" ht="14.25">
      <c r="A22" s="1305" t="s">
        <v>1705</v>
      </c>
      <c r="B22" s="2073"/>
      <c r="C22" s="1292" t="s">
        <v>1698</v>
      </c>
      <c r="D22" s="1312">
        <f t="shared" si="4"/>
        <v>0.01</v>
      </c>
      <c r="E22" s="1313">
        <v>0.12</v>
      </c>
      <c r="F22" s="1317"/>
      <c r="G22" s="2253"/>
      <c r="H22" s="1592">
        <v>0.01</v>
      </c>
      <c r="I22" s="1290">
        <f t="shared" si="6"/>
        <v>0.02</v>
      </c>
      <c r="J22" s="1290">
        <f t="shared" si="7"/>
        <v>0.01</v>
      </c>
      <c r="K22" s="1289">
        <v>0</v>
      </c>
      <c r="L22" s="1290">
        <f t="shared" si="5"/>
        <v>-0.01</v>
      </c>
      <c r="M22" s="1290">
        <f t="shared" si="5"/>
        <v>-0.02</v>
      </c>
    </row>
    <row r="23" spans="1:20" ht="15" thickBot="1">
      <c r="A23" s="1320" t="s">
        <v>1706</v>
      </c>
      <c r="B23" s="1324" t="str">
        <f>估价对象房地状况!C9</f>
        <v>区域自然环境：；人文环境；综合评价环境状况一般</v>
      </c>
      <c r="C23" s="1292" t="s">
        <v>1698</v>
      </c>
      <c r="D23" s="1312">
        <f t="shared" si="4"/>
        <v>0.02</v>
      </c>
      <c r="E23" s="1322">
        <v>0.06</v>
      </c>
      <c r="F23" s="1323"/>
      <c r="G23" s="2253"/>
      <c r="H23" s="1592">
        <v>0.02</v>
      </c>
      <c r="I23" s="1290">
        <f t="shared" si="6"/>
        <v>0.04</v>
      </c>
      <c r="J23" s="1290">
        <f t="shared" si="7"/>
        <v>0.02</v>
      </c>
      <c r="K23" s="1289">
        <v>0</v>
      </c>
      <c r="L23" s="1290">
        <f t="shared" si="5"/>
        <v>-0.02</v>
      </c>
      <c r="M23" s="1290">
        <f t="shared" si="5"/>
        <v>-0.04</v>
      </c>
    </row>
    <row r="24" spans="1:20" ht="18" customHeight="1">
      <c r="A24" s="1299" t="s">
        <v>1769</v>
      </c>
      <c r="B24" s="1300">
        <f>1+F26</f>
        <v>1.0597000000000001</v>
      </c>
      <c r="C24" s="2254"/>
      <c r="D24" s="1302"/>
      <c r="E24" s="1302"/>
      <c r="F24" s="1303"/>
      <c r="G24" s="2252"/>
      <c r="H24" s="2248"/>
      <c r="I24" s="1298"/>
      <c r="J24" s="1298"/>
      <c r="K24" s="1298"/>
      <c r="L24" s="1298"/>
      <c r="M24" s="1298"/>
    </row>
    <row r="25" spans="1:20" ht="13.5">
      <c r="A25" s="1305" t="s">
        <v>1694</v>
      </c>
      <c r="B25" s="1306"/>
      <c r="C25" s="1307" t="s">
        <v>1696</v>
      </c>
      <c r="D25" s="1308" t="s">
        <v>1776</v>
      </c>
      <c r="E25" s="1308" t="s">
        <v>1777</v>
      </c>
      <c r="F25" s="1309" t="s">
        <v>1778</v>
      </c>
      <c r="G25" s="1310" t="s">
        <v>2177</v>
      </c>
      <c r="H25" s="1308" t="s">
        <v>1774</v>
      </c>
      <c r="I25" s="805" t="s">
        <v>439</v>
      </c>
      <c r="J25" s="805" t="s">
        <v>440</v>
      </c>
      <c r="K25" s="805" t="s">
        <v>441</v>
      </c>
      <c r="L25" s="805" t="s">
        <v>442</v>
      </c>
      <c r="M25" s="805" t="s">
        <v>443</v>
      </c>
    </row>
    <row r="26" spans="1:20" ht="24">
      <c r="A26" s="1305" t="s">
        <v>1708</v>
      </c>
      <c r="B26" s="1311" t="str">
        <f>估价对象房地状况!C3</f>
        <v>估价对象周边居住用地比例、居住小区规模和社区发展完善程度，综合评价居住社区成熟度一般</v>
      </c>
      <c r="C26" s="1292" t="s">
        <v>1698</v>
      </c>
      <c r="D26" s="1312">
        <f t="shared" ref="D26:D34" si="8">SUMIF($I$3:$M$3,C26,I26:M26)</f>
        <v>0.08</v>
      </c>
      <c r="E26" s="1313">
        <v>0.14000000000000001</v>
      </c>
      <c r="F26" s="1314">
        <f>D26*E26+D27*E27+D28*E28+D29*E29+D30*E30+D32*E32+D31*E31+D33*E33+D34*E34</f>
        <v>5.9700000000000003E-2</v>
      </c>
      <c r="G26" s="1315" t="str">
        <f>IF(基准地价修正!E2="住宅",SUMIF(基准地价修正!L1:L12,基准地价修正!G2,基准地价修正!N1:N12),"——")</f>
        <v>——</v>
      </c>
      <c r="H26" s="1592">
        <v>0.08</v>
      </c>
      <c r="I26" s="1290">
        <f>J26+$H26</f>
        <v>0.16</v>
      </c>
      <c r="J26" s="1290">
        <f>$K26+$H26</f>
        <v>0.08</v>
      </c>
      <c r="K26" s="1289">
        <v>0</v>
      </c>
      <c r="L26" s="1290">
        <f t="shared" ref="L26:M34" si="9">K26-$H26</f>
        <v>-0.08</v>
      </c>
      <c r="M26" s="1290">
        <f t="shared" si="9"/>
        <v>-0.16</v>
      </c>
    </row>
    <row r="27" spans="1:20" ht="24">
      <c r="A27" s="1305" t="s">
        <v>1699</v>
      </c>
      <c r="B27" s="1306" t="str">
        <f>估价对象房地状况!C6</f>
        <v>估价对象周边道路状况、公共交通通达情况、停车便捷程度，综合评价交通便捷度较好</v>
      </c>
      <c r="C27" s="1292" t="s">
        <v>1698</v>
      </c>
      <c r="D27" s="1312">
        <f t="shared" si="8"/>
        <v>0.08</v>
      </c>
      <c r="E27" s="1313">
        <v>0.3</v>
      </c>
      <c r="F27" s="1325"/>
      <c r="G27" s="2255"/>
      <c r="H27" s="1592">
        <v>0.08</v>
      </c>
      <c r="I27" s="1290">
        <f t="shared" ref="I27:I34" si="10">J27+$H27</f>
        <v>0.16</v>
      </c>
      <c r="J27" s="1290">
        <f t="shared" ref="J27:J34" si="11">$K27+$H27</f>
        <v>0.08</v>
      </c>
      <c r="K27" s="1289">
        <v>0</v>
      </c>
      <c r="L27" s="1290">
        <f t="shared" si="9"/>
        <v>-0.08</v>
      </c>
      <c r="M27" s="1290">
        <f t="shared" si="9"/>
        <v>-0.16</v>
      </c>
    </row>
    <row r="28" spans="1:20" ht="14.25">
      <c r="A28" s="1305" t="s">
        <v>1700</v>
      </c>
      <c r="B28" s="1306">
        <f>估价对象房地状况!C19</f>
        <v>0</v>
      </c>
      <c r="C28" s="1292" t="s">
        <v>1698</v>
      </c>
      <c r="D28" s="1312">
        <f t="shared" si="8"/>
        <v>0.03</v>
      </c>
      <c r="E28" s="1313">
        <v>0.08</v>
      </c>
      <c r="F28" s="1325"/>
      <c r="G28" s="2255"/>
      <c r="H28" s="1592">
        <v>0.03</v>
      </c>
      <c r="I28" s="1290">
        <f t="shared" si="10"/>
        <v>0.06</v>
      </c>
      <c r="J28" s="1290">
        <f t="shared" si="11"/>
        <v>0.03</v>
      </c>
      <c r="K28" s="1289">
        <v>0</v>
      </c>
      <c r="L28" s="1290">
        <f t="shared" si="9"/>
        <v>-0.03</v>
      </c>
      <c r="M28" s="1290">
        <f t="shared" si="9"/>
        <v>-0.06</v>
      </c>
    </row>
    <row r="29" spans="1:20" ht="14.25">
      <c r="A29" s="1305" t="s">
        <v>1709</v>
      </c>
      <c r="B29" s="1306">
        <f>估价对象房地状况!C10</f>
        <v>0</v>
      </c>
      <c r="C29" s="1292" t="s">
        <v>101</v>
      </c>
      <c r="D29" s="1312">
        <f t="shared" si="8"/>
        <v>0.05</v>
      </c>
      <c r="E29" s="1313">
        <v>0.04</v>
      </c>
      <c r="F29" s="1325"/>
      <c r="G29" s="2255"/>
      <c r="H29" s="1592">
        <v>2.5000000000000001E-2</v>
      </c>
      <c r="I29" s="1290">
        <f t="shared" si="10"/>
        <v>0.05</v>
      </c>
      <c r="J29" s="1290">
        <f t="shared" si="11"/>
        <v>2.5000000000000001E-2</v>
      </c>
      <c r="K29" s="1289">
        <v>0</v>
      </c>
      <c r="L29" s="1290">
        <f t="shared" si="9"/>
        <v>-2.5000000000000001E-2</v>
      </c>
      <c r="M29" s="1290">
        <f t="shared" si="9"/>
        <v>-0.05</v>
      </c>
    </row>
    <row r="30" spans="1:20" s="2251" customFormat="1" ht="14.25">
      <c r="A30" s="1305" t="s">
        <v>1704</v>
      </c>
      <c r="B30" s="2072" t="str">
        <f>估价对象房地状况!C7</f>
        <v>估价对象所在区域公共配套设施齐备情况</v>
      </c>
      <c r="C30" s="1292" t="s">
        <v>1698</v>
      </c>
      <c r="D30" s="1312">
        <f t="shared" si="8"/>
        <v>0.03</v>
      </c>
      <c r="E30" s="1313">
        <v>0.08</v>
      </c>
      <c r="F30" s="1325"/>
      <c r="G30" s="2255"/>
      <c r="H30" s="1592">
        <v>0.03</v>
      </c>
      <c r="I30" s="1290">
        <f t="shared" si="10"/>
        <v>0.06</v>
      </c>
      <c r="J30" s="1290">
        <f t="shared" si="11"/>
        <v>0.03</v>
      </c>
      <c r="K30" s="1289">
        <v>0</v>
      </c>
      <c r="L30" s="1290">
        <f t="shared" si="9"/>
        <v>-0.03</v>
      </c>
      <c r="M30" s="1290">
        <f t="shared" si="9"/>
        <v>-0.06</v>
      </c>
      <c r="N30" s="2250"/>
      <c r="O30" s="2250"/>
      <c r="P30" s="2250"/>
      <c r="Q30" s="2250"/>
      <c r="R30" s="2250"/>
      <c r="S30" s="2250"/>
      <c r="T30" s="2250"/>
    </row>
    <row r="31" spans="1:20" ht="14.25">
      <c r="A31" s="1305" t="s">
        <v>1705</v>
      </c>
      <c r="B31" s="2073"/>
      <c r="C31" s="1292" t="s">
        <v>101</v>
      </c>
      <c r="D31" s="1312">
        <f t="shared" si="8"/>
        <v>0.06</v>
      </c>
      <c r="E31" s="1313">
        <v>0.12</v>
      </c>
      <c r="F31" s="1325"/>
      <c r="G31" s="2255"/>
      <c r="H31" s="1592">
        <v>0.03</v>
      </c>
      <c r="I31" s="1290">
        <f t="shared" si="10"/>
        <v>0.06</v>
      </c>
      <c r="J31" s="1290">
        <f t="shared" si="11"/>
        <v>0.03</v>
      </c>
      <c r="K31" s="1289">
        <v>0</v>
      </c>
      <c r="L31" s="1290">
        <f t="shared" si="9"/>
        <v>-0.03</v>
      </c>
      <c r="M31" s="1290">
        <f t="shared" si="9"/>
        <v>-0.06</v>
      </c>
    </row>
    <row r="32" spans="1:20" ht="14.25">
      <c r="A32" s="1305" t="s">
        <v>1703</v>
      </c>
      <c r="B32" s="1294" t="s">
        <v>1783</v>
      </c>
      <c r="C32" s="1292" t="s">
        <v>102</v>
      </c>
      <c r="D32" s="1312">
        <f t="shared" si="8"/>
        <v>0.03</v>
      </c>
      <c r="E32" s="1313">
        <v>0.05</v>
      </c>
      <c r="F32" s="1325"/>
      <c r="G32" s="2255"/>
      <c r="H32" s="1592">
        <v>0.03</v>
      </c>
      <c r="I32" s="1290">
        <f t="shared" si="10"/>
        <v>0.06</v>
      </c>
      <c r="J32" s="1290">
        <f t="shared" si="11"/>
        <v>0.03</v>
      </c>
      <c r="K32" s="1289">
        <v>0</v>
      </c>
      <c r="L32" s="1290">
        <f t="shared" si="9"/>
        <v>-0.03</v>
      </c>
      <c r="M32" s="1290">
        <f t="shared" si="9"/>
        <v>-0.06</v>
      </c>
    </row>
    <row r="33" spans="1:13" ht="14.25">
      <c r="A33" s="1305" t="s">
        <v>1706</v>
      </c>
      <c r="B33" s="1311" t="str">
        <f>估价对象房地状况!C9</f>
        <v>区域自然环境：；人文环境；综合评价环境状况一般</v>
      </c>
      <c r="C33" s="1292" t="s">
        <v>1698</v>
      </c>
      <c r="D33" s="1312">
        <f t="shared" si="8"/>
        <v>0.06</v>
      </c>
      <c r="E33" s="1313">
        <v>0.15</v>
      </c>
      <c r="F33" s="1325"/>
      <c r="G33" s="2255"/>
      <c r="H33" s="1592">
        <v>0.06</v>
      </c>
      <c r="I33" s="1290">
        <f t="shared" si="10"/>
        <v>0.12</v>
      </c>
      <c r="J33" s="1290">
        <f t="shared" si="11"/>
        <v>0.06</v>
      </c>
      <c r="K33" s="1289">
        <v>0</v>
      </c>
      <c r="L33" s="1290">
        <f t="shared" si="9"/>
        <v>-0.06</v>
      </c>
      <c r="M33" s="1290">
        <f t="shared" si="9"/>
        <v>-0.12</v>
      </c>
    </row>
    <row r="34" spans="1:13" ht="15" thickBot="1">
      <c r="A34" s="1320" t="s">
        <v>1710</v>
      </c>
      <c r="B34" s="1295" t="s">
        <v>1784</v>
      </c>
      <c r="C34" s="1292" t="s">
        <v>103</v>
      </c>
      <c r="D34" s="1312">
        <f t="shared" si="8"/>
        <v>0</v>
      </c>
      <c r="E34" s="1322">
        <v>0.04</v>
      </c>
      <c r="F34" s="1326"/>
      <c r="G34" s="2255"/>
      <c r="H34" s="1592">
        <v>0.03</v>
      </c>
      <c r="I34" s="1290">
        <f t="shared" si="10"/>
        <v>0.06</v>
      </c>
      <c r="J34" s="1290">
        <f t="shared" si="11"/>
        <v>0.03</v>
      </c>
      <c r="K34" s="1289">
        <v>0</v>
      </c>
      <c r="L34" s="1290">
        <f t="shared" si="9"/>
        <v>-0.03</v>
      </c>
      <c r="M34" s="1290">
        <f t="shared" si="9"/>
        <v>-0.06</v>
      </c>
    </row>
    <row r="35" spans="1:13" ht="15">
      <c r="A35" s="1299" t="s">
        <v>1120</v>
      </c>
      <c r="B35" s="1300">
        <f>1+F37</f>
        <v>1.0127999999999999</v>
      </c>
      <c r="C35" s="2254"/>
      <c r="D35" s="1302"/>
      <c r="E35" s="1302"/>
      <c r="F35" s="1303"/>
      <c r="G35" s="2252"/>
      <c r="H35" s="2248"/>
      <c r="I35" s="1298"/>
      <c r="J35" s="1298"/>
      <c r="K35" s="1298"/>
      <c r="L35" s="1298"/>
      <c r="M35" s="1298"/>
    </row>
    <row r="36" spans="1:13" ht="13.5">
      <c r="A36" s="1305" t="s">
        <v>1694</v>
      </c>
      <c r="B36" s="1306"/>
      <c r="C36" s="1307" t="s">
        <v>1696</v>
      </c>
      <c r="D36" s="1308" t="s">
        <v>1776</v>
      </c>
      <c r="E36" s="1308" t="s">
        <v>1777</v>
      </c>
      <c r="F36" s="1309" t="s">
        <v>1778</v>
      </c>
      <c r="G36" s="1310" t="s">
        <v>2178</v>
      </c>
      <c r="H36" s="1308" t="s">
        <v>1774</v>
      </c>
      <c r="I36" s="805" t="s">
        <v>439</v>
      </c>
      <c r="J36" s="805" t="s">
        <v>440</v>
      </c>
      <c r="K36" s="805" t="s">
        <v>441</v>
      </c>
      <c r="L36" s="805" t="s">
        <v>442</v>
      </c>
      <c r="M36" s="805" t="s">
        <v>443</v>
      </c>
    </row>
    <row r="37" spans="1:13" ht="24">
      <c r="A37" s="1305" t="s">
        <v>1711</v>
      </c>
      <c r="B37" s="1306" t="str">
        <f>估价对象房地状况!G3</f>
        <v>估价对象位于XX开发区，园区建设成熟度XX，产业集聚程度XX</v>
      </c>
      <c r="C37" s="1292" t="s">
        <v>1698</v>
      </c>
      <c r="D37" s="1312">
        <f t="shared" ref="D37:D44" si="12">SUMIF($I$3:$M$3,C37,I37:M37)</f>
        <v>0.02</v>
      </c>
      <c r="E37" s="1313">
        <v>0.26</v>
      </c>
      <c r="F37" s="1314">
        <f>D37*E37+D38*E38+D39*E39+D40*E40+D41*E41+D43*E43+D42*E42+D44*E44</f>
        <v>1.2800000000000001E-2</v>
      </c>
      <c r="G37" s="1315" t="str">
        <f>IF(基准地价修正!E2="工业",SUMIF(基准地价修正!L1:L12,基准地价修正!G2,基准地价修正!N1:N12),"——")</f>
        <v>——</v>
      </c>
      <c r="H37" s="1592">
        <v>0.02</v>
      </c>
      <c r="I37" s="1290">
        <f>J37+$H37</f>
        <v>0.04</v>
      </c>
      <c r="J37" s="1290">
        <f>$K37+$H37</f>
        <v>0.02</v>
      </c>
      <c r="K37" s="1289">
        <v>0</v>
      </c>
      <c r="L37" s="1290">
        <f t="shared" ref="L37:M44" si="13">K37-$H37</f>
        <v>-0.02</v>
      </c>
      <c r="M37" s="1290">
        <f t="shared" si="13"/>
        <v>-0.04</v>
      </c>
    </row>
    <row r="38" spans="1:13" ht="24">
      <c r="A38" s="1305" t="s">
        <v>1699</v>
      </c>
      <c r="B38" s="1306" t="str">
        <f>估价对象房地状况!G4</f>
        <v>估价对象周边道路状况、公共交通通达情况、停车便捷程度，综合评价交通便捷度较好</v>
      </c>
      <c r="C38" s="1292" t="s">
        <v>1698</v>
      </c>
      <c r="D38" s="1312">
        <f t="shared" si="12"/>
        <v>0.01</v>
      </c>
      <c r="E38" s="1313">
        <v>0.33</v>
      </c>
      <c r="F38" s="1325"/>
      <c r="G38" s="2255"/>
      <c r="H38" s="1592">
        <v>0.01</v>
      </c>
      <c r="I38" s="1290">
        <f t="shared" ref="I38:I44" si="14">J38+$H38</f>
        <v>0.02</v>
      </c>
      <c r="J38" s="1290">
        <f t="shared" ref="J38:J44" si="15">$K38+$H38</f>
        <v>0.01</v>
      </c>
      <c r="K38" s="1289">
        <v>0</v>
      </c>
      <c r="L38" s="1290">
        <f t="shared" si="13"/>
        <v>-0.01</v>
      </c>
      <c r="M38" s="1290">
        <f t="shared" si="13"/>
        <v>-0.02</v>
      </c>
    </row>
    <row r="39" spans="1:13" ht="14.25">
      <c r="A39" s="1305" t="s">
        <v>1700</v>
      </c>
      <c r="B39" s="1306">
        <f>估价对象房地状况!G17</f>
        <v>0</v>
      </c>
      <c r="C39" s="1292" t="s">
        <v>1698</v>
      </c>
      <c r="D39" s="1312">
        <f t="shared" si="12"/>
        <v>0.02</v>
      </c>
      <c r="E39" s="1313">
        <v>0.05</v>
      </c>
      <c r="F39" s="1325"/>
      <c r="G39" s="2255"/>
      <c r="H39" s="1592">
        <v>0.02</v>
      </c>
      <c r="I39" s="1290">
        <f t="shared" si="14"/>
        <v>0.04</v>
      </c>
      <c r="J39" s="1290">
        <f t="shared" si="15"/>
        <v>0.02</v>
      </c>
      <c r="K39" s="1289">
        <v>0</v>
      </c>
      <c r="L39" s="1290">
        <f t="shared" si="13"/>
        <v>-0.02</v>
      </c>
      <c r="M39" s="1290">
        <f t="shared" si="13"/>
        <v>-0.04</v>
      </c>
    </row>
    <row r="40" spans="1:13" ht="14.25">
      <c r="A40" s="1305" t="s">
        <v>1709</v>
      </c>
      <c r="B40" s="1306">
        <f>估价对象房地状况!G22</f>
        <v>0</v>
      </c>
      <c r="C40" s="1292" t="s">
        <v>1698</v>
      </c>
      <c r="D40" s="1312">
        <f t="shared" si="12"/>
        <v>0.01</v>
      </c>
      <c r="E40" s="1313">
        <v>0.04</v>
      </c>
      <c r="F40" s="1325"/>
      <c r="G40" s="2255"/>
      <c r="H40" s="1592">
        <v>0.01</v>
      </c>
      <c r="I40" s="1290">
        <f t="shared" si="14"/>
        <v>0.02</v>
      </c>
      <c r="J40" s="1290">
        <f t="shared" si="15"/>
        <v>0.01</v>
      </c>
      <c r="K40" s="1289">
        <v>0</v>
      </c>
      <c r="L40" s="1290">
        <f t="shared" si="13"/>
        <v>-0.01</v>
      </c>
      <c r="M40" s="1290">
        <f t="shared" si="13"/>
        <v>-0.02</v>
      </c>
    </row>
    <row r="41" spans="1:13" ht="14.25">
      <c r="A41" s="1305" t="s">
        <v>1704</v>
      </c>
      <c r="B41" s="2072" t="str">
        <f>估价对象房地状况!G19</f>
        <v>估价对象所在区域公共配套设施齐备情况</v>
      </c>
      <c r="C41" s="1292" t="s">
        <v>1698</v>
      </c>
      <c r="D41" s="1312">
        <f t="shared" si="12"/>
        <v>0.02</v>
      </c>
      <c r="E41" s="1313">
        <v>0.06</v>
      </c>
      <c r="F41" s="1325"/>
      <c r="G41" s="2255"/>
      <c r="H41" s="1592">
        <v>0.02</v>
      </c>
      <c r="I41" s="1290">
        <f t="shared" si="14"/>
        <v>0.04</v>
      </c>
      <c r="J41" s="1290">
        <f t="shared" si="15"/>
        <v>0.02</v>
      </c>
      <c r="K41" s="1289">
        <v>0</v>
      </c>
      <c r="L41" s="1290">
        <f t="shared" si="13"/>
        <v>-0.02</v>
      </c>
      <c r="M41" s="1290">
        <f t="shared" si="13"/>
        <v>-0.04</v>
      </c>
    </row>
    <row r="42" spans="1:13" ht="14.25">
      <c r="A42" s="1305" t="s">
        <v>1705</v>
      </c>
      <c r="B42" s="2073"/>
      <c r="C42" s="1292" t="s">
        <v>1698</v>
      </c>
      <c r="D42" s="1312">
        <f t="shared" si="12"/>
        <v>0.01</v>
      </c>
      <c r="E42" s="1313">
        <v>0.15</v>
      </c>
      <c r="F42" s="1325"/>
      <c r="G42" s="2255"/>
      <c r="H42" s="1592">
        <v>0.01</v>
      </c>
      <c r="I42" s="1290">
        <f t="shared" si="14"/>
        <v>0.02</v>
      </c>
      <c r="J42" s="1290">
        <f t="shared" si="15"/>
        <v>0.01</v>
      </c>
      <c r="K42" s="1289">
        <v>0</v>
      </c>
      <c r="L42" s="1290">
        <f t="shared" si="13"/>
        <v>-0.01</v>
      </c>
      <c r="M42" s="1290">
        <f t="shared" si="13"/>
        <v>-0.02</v>
      </c>
    </row>
    <row r="43" spans="1:13" ht="14.25">
      <c r="A43" s="1305" t="s">
        <v>1703</v>
      </c>
      <c r="B43" s="1294" t="s">
        <v>1783</v>
      </c>
      <c r="C43" s="1292" t="s">
        <v>114</v>
      </c>
      <c r="D43" s="1312">
        <f t="shared" si="12"/>
        <v>-0.02</v>
      </c>
      <c r="E43" s="1313">
        <v>0.05</v>
      </c>
      <c r="F43" s="1325"/>
      <c r="G43" s="2255"/>
      <c r="H43" s="1592">
        <v>0.02</v>
      </c>
      <c r="I43" s="1290">
        <f t="shared" si="14"/>
        <v>0.04</v>
      </c>
      <c r="J43" s="1290">
        <f t="shared" si="15"/>
        <v>0.02</v>
      </c>
      <c r="K43" s="1289">
        <v>0</v>
      </c>
      <c r="L43" s="1290">
        <f t="shared" si="13"/>
        <v>-0.02</v>
      </c>
      <c r="M43" s="1290">
        <f t="shared" si="13"/>
        <v>-0.04</v>
      </c>
    </row>
    <row r="44" spans="1:13" ht="24.75" thickBot="1">
      <c r="A44" s="1320" t="s">
        <v>1712</v>
      </c>
      <c r="B44" s="1327" t="str">
        <f>估价对象房地状况!G18</f>
        <v>该园区内是否有污染型企业，绿化情况，卫生条件，整体环境状况判断</v>
      </c>
      <c r="C44" s="1292" t="s">
        <v>101</v>
      </c>
      <c r="D44" s="1312">
        <f t="shared" si="12"/>
        <v>0.02</v>
      </c>
      <c r="E44" s="1322">
        <v>0.06</v>
      </c>
      <c r="F44" s="1326"/>
      <c r="G44" s="2255"/>
      <c r="H44" s="1592">
        <v>0.01</v>
      </c>
      <c r="I44" s="1290">
        <f t="shared" si="14"/>
        <v>0.02</v>
      </c>
      <c r="J44" s="1290">
        <f t="shared" si="15"/>
        <v>0.01</v>
      </c>
      <c r="K44" s="1289">
        <v>0</v>
      </c>
      <c r="L44" s="1290">
        <f t="shared" si="13"/>
        <v>-0.01</v>
      </c>
      <c r="M44" s="1290">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5" customWidth="1"/>
    <col min="2" max="5" width="10.25" style="1298" customWidth="1"/>
    <col min="6" max="6" width="9" style="1298"/>
    <col min="7" max="7" width="9" style="1329"/>
    <col min="8" max="8" width="9" style="1298"/>
    <col min="9" max="9" width="9" style="1329"/>
    <col min="10" max="16384" width="9" style="1298"/>
  </cols>
  <sheetData>
    <row r="1" spans="1:20">
      <c r="A1" s="3518" t="s">
        <v>1090</v>
      </c>
      <c r="B1" s="3518"/>
      <c r="C1" s="3518"/>
      <c r="D1" s="3518"/>
      <c r="E1" s="3518"/>
      <c r="F1" s="3518"/>
      <c r="H1" s="1330"/>
      <c r="I1" s="1331" t="s">
        <v>1091</v>
      </c>
      <c r="J1" s="1332" t="s">
        <v>1092</v>
      </c>
      <c r="K1" s="1332" t="s">
        <v>1093</v>
      </c>
      <c r="L1" s="1332" t="s">
        <v>1094</v>
      </c>
      <c r="M1" s="1332" t="s">
        <v>1095</v>
      </c>
      <c r="N1" s="1332" t="s">
        <v>1096</v>
      </c>
      <c r="O1" s="1332" t="s">
        <v>1097</v>
      </c>
      <c r="P1" s="1332" t="s">
        <v>1098</v>
      </c>
      <c r="Q1" s="1332" t="s">
        <v>1099</v>
      </c>
      <c r="R1" s="1332" t="s">
        <v>1100</v>
      </c>
      <c r="S1" s="1332" t="s">
        <v>1101</v>
      </c>
      <c r="T1" s="1333" t="s">
        <v>1102</v>
      </c>
    </row>
    <row r="2" spans="1:20" ht="14.25" thickBot="1">
      <c r="A2" s="3519" t="s">
        <v>1103</v>
      </c>
      <c r="B2" s="3519"/>
      <c r="C2" s="3519"/>
      <c r="D2" s="3519"/>
      <c r="E2" s="3519"/>
      <c r="F2" s="3519"/>
      <c r="I2" s="1334" t="s">
        <v>1104</v>
      </c>
      <c r="J2" s="1335" t="s">
        <v>1105</v>
      </c>
      <c r="K2" s="1335" t="s">
        <v>1106</v>
      </c>
      <c r="L2" s="1335" t="s">
        <v>1107</v>
      </c>
      <c r="M2" s="1335" t="s">
        <v>1108</v>
      </c>
      <c r="N2" s="1335" t="s">
        <v>1109</v>
      </c>
      <c r="O2" s="1335" t="s">
        <v>1110</v>
      </c>
      <c r="P2" s="1335" t="s">
        <v>1111</v>
      </c>
      <c r="Q2" s="1335" t="s">
        <v>1112</v>
      </c>
      <c r="R2" s="1335" t="s">
        <v>1113</v>
      </c>
      <c r="S2" s="1335" t="s">
        <v>1114</v>
      </c>
      <c r="T2" s="1335" t="s">
        <v>1115</v>
      </c>
    </row>
    <row r="3" spans="1:20" s="1330" customFormat="1" ht="19.5" customHeight="1">
      <c r="A3" s="3520" t="s">
        <v>1116</v>
      </c>
      <c r="B3" s="1336"/>
      <c r="C3" s="1337" t="s">
        <v>1117</v>
      </c>
      <c r="D3" s="1337" t="s">
        <v>1118</v>
      </c>
      <c r="E3" s="1337" t="s">
        <v>1769</v>
      </c>
      <c r="F3" s="1337" t="s">
        <v>1120</v>
      </c>
      <c r="G3" s="1338"/>
      <c r="I3" s="1334" t="s">
        <v>1121</v>
      </c>
      <c r="J3" s="1335" t="s">
        <v>1122</v>
      </c>
      <c r="K3" s="1335" t="s">
        <v>1123</v>
      </c>
      <c r="L3" s="1335" t="s">
        <v>1124</v>
      </c>
      <c r="M3" s="1335" t="s">
        <v>1125</v>
      </c>
      <c r="N3" s="1335" t="s">
        <v>1126</v>
      </c>
      <c r="O3" s="1335" t="s">
        <v>1127</v>
      </c>
      <c r="P3" s="1335" t="s">
        <v>1128</v>
      </c>
      <c r="Q3" s="1335" t="s">
        <v>1129</v>
      </c>
      <c r="R3" s="1335" t="s">
        <v>1130</v>
      </c>
      <c r="S3" s="1335" t="s">
        <v>1131</v>
      </c>
      <c r="T3" s="1335" t="s">
        <v>1132</v>
      </c>
    </row>
    <row r="4" spans="1:20" s="1330" customFormat="1" ht="19.5" customHeight="1" thickBot="1">
      <c r="A4" s="3521"/>
      <c r="B4" s="1339" t="s">
        <v>1133</v>
      </c>
      <c r="C4" s="1339" t="s">
        <v>1134</v>
      </c>
      <c r="D4" s="1339" t="s">
        <v>1134</v>
      </c>
      <c r="E4" s="1339" t="s">
        <v>1134</v>
      </c>
      <c r="F4" s="1340" t="s">
        <v>1134</v>
      </c>
      <c r="G4" s="1338"/>
      <c r="I4" s="1334" t="s">
        <v>1135</v>
      </c>
      <c r="J4" s="1335" t="s">
        <v>1056</v>
      </c>
      <c r="K4" s="1335" t="s">
        <v>1136</v>
      </c>
      <c r="L4" s="1335" t="s">
        <v>1137</v>
      </c>
      <c r="M4" s="1335" t="s">
        <v>1138</v>
      </c>
      <c r="N4" s="1335" t="s">
        <v>1139</v>
      </c>
      <c r="O4" s="1335" t="s">
        <v>1140</v>
      </c>
      <c r="P4" s="1335" t="s">
        <v>1141</v>
      </c>
      <c r="Q4" s="1335" t="s">
        <v>1142</v>
      </c>
      <c r="R4" s="1335" t="s">
        <v>1143</v>
      </c>
      <c r="S4" s="1335" t="s">
        <v>1144</v>
      </c>
      <c r="T4" s="1335" t="s">
        <v>1145</v>
      </c>
    </row>
    <row r="5" spans="1:20" ht="14.25" customHeight="1" thickBot="1">
      <c r="A5" s="1341" t="s">
        <v>1146</v>
      </c>
      <c r="B5" s="1342" t="s">
        <v>1104</v>
      </c>
      <c r="C5" s="1342">
        <v>29530</v>
      </c>
      <c r="D5" s="1342">
        <v>28130</v>
      </c>
      <c r="E5" s="1342">
        <v>27930</v>
      </c>
      <c r="F5" s="1343">
        <v>11300</v>
      </c>
      <c r="G5" s="1344" t="s">
        <v>1091</v>
      </c>
      <c r="H5" s="1345">
        <f>SUMPRODUCT((B5:B9=基准地价修正!I2)*(C3:F3=基准地价修正!E2)*(C5:F9))</f>
        <v>0</v>
      </c>
      <c r="I5" s="1334" t="s">
        <v>1147</v>
      </c>
      <c r="J5" s="1335" t="s">
        <v>1148</v>
      </c>
      <c r="K5" s="1335" t="s">
        <v>1149</v>
      </c>
      <c r="L5" s="1335" t="s">
        <v>1150</v>
      </c>
      <c r="M5" s="1335" t="s">
        <v>1151</v>
      </c>
      <c r="N5" s="1335" t="s">
        <v>1152</v>
      </c>
      <c r="O5" s="1335" t="s">
        <v>1153</v>
      </c>
      <c r="P5" s="1335" t="s">
        <v>1154</v>
      </c>
      <c r="Q5" s="1335" t="s">
        <v>1155</v>
      </c>
      <c r="R5" s="1335" t="s">
        <v>1156</v>
      </c>
      <c r="S5" s="1335" t="s">
        <v>1157</v>
      </c>
      <c r="T5" s="1335" t="s">
        <v>1158</v>
      </c>
    </row>
    <row r="6" spans="1:20" ht="14.25" customHeight="1" thickBot="1">
      <c r="A6" s="1341" t="s">
        <v>1146</v>
      </c>
      <c r="B6" s="1335" t="s">
        <v>1121</v>
      </c>
      <c r="C6" s="1335">
        <v>30290</v>
      </c>
      <c r="D6" s="1335">
        <v>29210</v>
      </c>
      <c r="E6" s="1335">
        <v>28860</v>
      </c>
      <c r="F6" s="1346">
        <v>12600</v>
      </c>
      <c r="G6" s="1347" t="s">
        <v>1092</v>
      </c>
      <c r="H6" s="1348">
        <f>SUMPRODUCT((B10:B28=基准地价修正!I2)*(C3:F3=基准地价修正!E2)*(C10:F28))</f>
        <v>0</v>
      </c>
      <c r="I6" s="1334" t="s">
        <v>1159</v>
      </c>
      <c r="J6" s="1335" t="s">
        <v>1160</v>
      </c>
      <c r="K6" s="1335" t="s">
        <v>1161</v>
      </c>
      <c r="L6" s="1335" t="s">
        <v>1162</v>
      </c>
      <c r="M6" s="1335" t="s">
        <v>1163</v>
      </c>
      <c r="N6" s="1335" t="s">
        <v>1164</v>
      </c>
      <c r="O6" s="1335" t="s">
        <v>1165</v>
      </c>
      <c r="P6" s="1335" t="s">
        <v>1166</v>
      </c>
      <c r="Q6" s="1335" t="s">
        <v>1167</v>
      </c>
      <c r="R6" s="1335" t="s">
        <v>1168</v>
      </c>
      <c r="S6" s="1335" t="s">
        <v>1169</v>
      </c>
      <c r="T6" s="1335" t="s">
        <v>1170</v>
      </c>
    </row>
    <row r="7" spans="1:20" ht="14.25" customHeight="1" thickBot="1">
      <c r="A7" s="1341" t="s">
        <v>1146</v>
      </c>
      <c r="B7" s="1349" t="s">
        <v>1135</v>
      </c>
      <c r="C7" s="1335">
        <v>29350</v>
      </c>
      <c r="D7" s="1335">
        <v>28410</v>
      </c>
      <c r="E7" s="1335">
        <v>27990</v>
      </c>
      <c r="F7" s="1346">
        <v>12300</v>
      </c>
      <c r="G7" s="1347" t="s">
        <v>1171</v>
      </c>
      <c r="H7" s="1348">
        <f>SUMPRODUCT((B29:B48=基准地价修正!I2)*(C3:F3=基准地价修正!E2)*(C29:F48))</f>
        <v>0</v>
      </c>
      <c r="J7" s="1335" t="s">
        <v>1172</v>
      </c>
      <c r="K7" s="1335" t="s">
        <v>1173</v>
      </c>
      <c r="L7" s="1335" t="s">
        <v>1174</v>
      </c>
      <c r="M7" s="1335" t="s">
        <v>1175</v>
      </c>
      <c r="N7" s="1335" t="s">
        <v>1176</v>
      </c>
      <c r="O7" s="1335" t="s">
        <v>1177</v>
      </c>
      <c r="P7" s="1335" t="s">
        <v>1178</v>
      </c>
      <c r="Q7" s="1335" t="s">
        <v>1179</v>
      </c>
      <c r="R7" s="1335" t="s">
        <v>1180</v>
      </c>
      <c r="S7" s="1335" t="s">
        <v>1181</v>
      </c>
      <c r="T7" s="1349" t="s">
        <v>1182</v>
      </c>
    </row>
    <row r="8" spans="1:20" ht="14.25" customHeight="1" thickBot="1">
      <c r="A8" s="1341" t="s">
        <v>1146</v>
      </c>
      <c r="B8" s="1335" t="s">
        <v>1147</v>
      </c>
      <c r="C8" s="1335">
        <v>30890</v>
      </c>
      <c r="D8" s="1335">
        <v>29780</v>
      </c>
      <c r="E8" s="1335">
        <v>29270</v>
      </c>
      <c r="F8" s="1346">
        <v>11600</v>
      </c>
      <c r="G8" s="1347" t="s">
        <v>1183</v>
      </c>
      <c r="H8" s="1348">
        <f>SUMPRODUCT((B49:B75=基准地价修正!I2)*(C3:F3=基准地价修正!E2)*(C49:F75))</f>
        <v>0</v>
      </c>
      <c r="J8" s="1335" t="s">
        <v>1184</v>
      </c>
      <c r="K8" s="1335" t="s">
        <v>1185</v>
      </c>
      <c r="L8" s="1335" t="s">
        <v>1186</v>
      </c>
      <c r="M8" s="1335" t="s">
        <v>1187</v>
      </c>
      <c r="N8" s="1335" t="s">
        <v>1188</v>
      </c>
      <c r="O8" s="1335" t="s">
        <v>1189</v>
      </c>
      <c r="P8" s="1335" t="s">
        <v>1190</v>
      </c>
      <c r="Q8" s="1335" t="s">
        <v>1191</v>
      </c>
      <c r="R8" s="1335" t="s">
        <v>1192</v>
      </c>
      <c r="S8" s="1335" t="s">
        <v>1193</v>
      </c>
      <c r="T8" s="1335" t="s">
        <v>1194</v>
      </c>
    </row>
    <row r="9" spans="1:20" ht="14.25" customHeight="1" thickBot="1">
      <c r="A9" s="1341" t="s">
        <v>1146</v>
      </c>
      <c r="B9" s="1350" t="s">
        <v>1159</v>
      </c>
      <c r="C9" s="1351">
        <v>28140</v>
      </c>
      <c r="D9" s="1351"/>
      <c r="E9" s="1351"/>
      <c r="F9" s="1352"/>
      <c r="G9" s="1347" t="s">
        <v>1195</v>
      </c>
      <c r="H9" s="1348">
        <f>SUMPRODUCT((B76:B109=基准地价修正!I2)*(C3:F3=基准地价修正!E2)*(C76:F109))</f>
        <v>0</v>
      </c>
      <c r="J9" s="1335" t="s">
        <v>1196</v>
      </c>
      <c r="K9" s="1335" t="s">
        <v>1197</v>
      </c>
      <c r="L9" s="1335" t="s">
        <v>1198</v>
      </c>
      <c r="M9" s="1335" t="s">
        <v>1199</v>
      </c>
      <c r="N9" s="1335" t="s">
        <v>1200</v>
      </c>
      <c r="O9" s="1335" t="s">
        <v>1201</v>
      </c>
      <c r="P9" s="1335" t="s">
        <v>1202</v>
      </c>
      <c r="Q9" s="1335" t="s">
        <v>1203</v>
      </c>
      <c r="R9" s="1335" t="s">
        <v>1204</v>
      </c>
      <c r="S9" s="1335" t="s">
        <v>1205</v>
      </c>
    </row>
    <row r="10" spans="1:20" ht="14.25" customHeight="1" thickBot="1">
      <c r="A10" s="1341" t="s">
        <v>1206</v>
      </c>
      <c r="B10" s="1342" t="s">
        <v>1207</v>
      </c>
      <c r="C10" s="1342">
        <v>27450</v>
      </c>
      <c r="D10" s="1342">
        <v>26180</v>
      </c>
      <c r="E10" s="1342">
        <v>25980</v>
      </c>
      <c r="F10" s="1343">
        <v>8910</v>
      </c>
      <c r="G10" s="1347" t="s">
        <v>1208</v>
      </c>
      <c r="H10" s="1348">
        <f>SUMPRODUCT((B110:B157=基准地价修正!I2)*(C3:F3=基准地价修正!E2)*(C110:F157))</f>
        <v>0</v>
      </c>
      <c r="J10" s="1335" t="s">
        <v>1209</v>
      </c>
      <c r="K10" s="1335" t="s">
        <v>1210</v>
      </c>
      <c r="L10" s="1335" t="s">
        <v>1211</v>
      </c>
      <c r="M10" s="1335" t="s">
        <v>1212</v>
      </c>
      <c r="N10" s="1335" t="s">
        <v>1213</v>
      </c>
      <c r="O10" s="1335" t="s">
        <v>1214</v>
      </c>
      <c r="P10" s="1335" t="s">
        <v>1215</v>
      </c>
      <c r="Q10" s="1335" t="s">
        <v>1216</v>
      </c>
      <c r="R10" s="1335" t="s">
        <v>1217</v>
      </c>
      <c r="S10" s="1335" t="s">
        <v>1218</v>
      </c>
    </row>
    <row r="11" spans="1:20" ht="14.25" customHeight="1" thickBot="1">
      <c r="A11" s="1341" t="s">
        <v>1206</v>
      </c>
      <c r="B11" s="1349" t="s">
        <v>1122</v>
      </c>
      <c r="C11" s="1335">
        <v>22950</v>
      </c>
      <c r="D11" s="1335">
        <v>22630</v>
      </c>
      <c r="E11" s="1335">
        <v>22030</v>
      </c>
      <c r="F11" s="1353">
        <v>8330</v>
      </c>
      <c r="G11" s="1347" t="s">
        <v>1219</v>
      </c>
      <c r="H11" s="1348">
        <f>SUMPRODUCT((B158:B205=基准地价修正!I2)*(C3:F3=基准地价修正!E2)*(C158:F205))</f>
        <v>0</v>
      </c>
      <c r="J11" s="1335" t="s">
        <v>1220</v>
      </c>
      <c r="K11" s="1335" t="s">
        <v>1221</v>
      </c>
      <c r="L11" s="1335" t="s">
        <v>1222</v>
      </c>
      <c r="M11" s="1335" t="s">
        <v>1223</v>
      </c>
      <c r="N11" s="1335" t="s">
        <v>1224</v>
      </c>
      <c r="O11" s="1335" t="s">
        <v>1225</v>
      </c>
      <c r="P11" s="1335" t="s">
        <v>1226</v>
      </c>
      <c r="Q11" s="1335" t="s">
        <v>1227</v>
      </c>
      <c r="R11" s="1335" t="s">
        <v>1228</v>
      </c>
      <c r="S11" s="1335" t="s">
        <v>1229</v>
      </c>
    </row>
    <row r="12" spans="1:20" ht="14.25" customHeight="1" thickBot="1">
      <c r="A12" s="1341" t="s">
        <v>1206</v>
      </c>
      <c r="B12" s="1349" t="s">
        <v>1056</v>
      </c>
      <c r="C12" s="1335">
        <v>24940</v>
      </c>
      <c r="D12" s="1335">
        <v>23180</v>
      </c>
      <c r="E12" s="1335">
        <v>22910</v>
      </c>
      <c r="F12" s="1353">
        <v>7180</v>
      </c>
      <c r="G12" s="1347" t="s">
        <v>1230</v>
      </c>
      <c r="H12" s="1348">
        <f>SUMPRODUCT((B206:B244=基准地价修正!I2)*(C3:F3=基准地价修正!E2)*(C206:F244))</f>
        <v>0</v>
      </c>
      <c r="J12" s="1335" t="s">
        <v>1231</v>
      </c>
      <c r="K12" s="1335" t="s">
        <v>1232</v>
      </c>
      <c r="L12" s="1335" t="s">
        <v>1233</v>
      </c>
      <c r="M12" s="1335" t="s">
        <v>1234</v>
      </c>
      <c r="N12" s="1335" t="s">
        <v>1235</v>
      </c>
      <c r="O12" s="1335" t="s">
        <v>1236</v>
      </c>
      <c r="P12" s="1335" t="s">
        <v>1237</v>
      </c>
      <c r="Q12" s="1335" t="s">
        <v>1238</v>
      </c>
      <c r="R12" s="1335" t="s">
        <v>1239</v>
      </c>
      <c r="S12" s="1335" t="s">
        <v>1240</v>
      </c>
    </row>
    <row r="13" spans="1:20" ht="14.25" customHeight="1" thickBot="1">
      <c r="A13" s="1341" t="s">
        <v>1206</v>
      </c>
      <c r="B13" s="1349" t="s">
        <v>1148</v>
      </c>
      <c r="C13" s="1335">
        <v>24140</v>
      </c>
      <c r="D13" s="1335">
        <v>22270</v>
      </c>
      <c r="E13" s="1335">
        <v>21950</v>
      </c>
      <c r="F13" s="1353">
        <v>7600</v>
      </c>
      <c r="G13" s="1347" t="s">
        <v>1241</v>
      </c>
      <c r="H13" s="1348">
        <f>SUMPRODUCT((B245:B289=基准地价修正!I2)*(C3:F3=基准地价修正!E2)*(C245:F289))</f>
        <v>0</v>
      </c>
      <c r="J13" s="1335" t="s">
        <v>1242</v>
      </c>
      <c r="K13" s="1335" t="s">
        <v>1243</v>
      </c>
      <c r="L13" s="1335" t="s">
        <v>1244</v>
      </c>
      <c r="M13" s="1335" t="s">
        <v>1245</v>
      </c>
      <c r="N13" s="1335" t="s">
        <v>1246</v>
      </c>
      <c r="O13" s="1335" t="s">
        <v>1247</v>
      </c>
      <c r="P13" s="1335" t="s">
        <v>1248</v>
      </c>
      <c r="Q13" s="1335" t="s">
        <v>1249</v>
      </c>
      <c r="R13" s="1335" t="s">
        <v>1250</v>
      </c>
      <c r="S13" s="1335" t="s">
        <v>1251</v>
      </c>
    </row>
    <row r="14" spans="1:20" ht="14.25" customHeight="1" thickBot="1">
      <c r="A14" s="1341" t="s">
        <v>1206</v>
      </c>
      <c r="B14" s="1349" t="s">
        <v>1160</v>
      </c>
      <c r="C14" s="1335">
        <v>25600</v>
      </c>
      <c r="D14" s="1335">
        <v>22260</v>
      </c>
      <c r="E14" s="1335">
        <v>22110</v>
      </c>
      <c r="F14" s="1353">
        <v>7630</v>
      </c>
      <c r="G14" s="1347" t="s">
        <v>1252</v>
      </c>
      <c r="H14" s="1348">
        <f>SUMPRODUCT((B290:B316=基准地价修正!I2)*(C3:F3=基准地价修正!E2)*(C290:F316))</f>
        <v>0</v>
      </c>
      <c r="J14" s="1335" t="s">
        <v>1253</v>
      </c>
      <c r="K14" s="1335" t="s">
        <v>1254</v>
      </c>
      <c r="L14" s="1335" t="s">
        <v>1255</v>
      </c>
      <c r="M14" s="1335" t="s">
        <v>1256</v>
      </c>
      <c r="N14" s="1335" t="s">
        <v>1257</v>
      </c>
      <c r="O14" s="1335" t="s">
        <v>1258</v>
      </c>
      <c r="P14" s="1335" t="s">
        <v>1259</v>
      </c>
      <c r="Q14" s="1335" t="s">
        <v>1260</v>
      </c>
      <c r="R14" s="1335" t="s">
        <v>1261</v>
      </c>
      <c r="S14" s="1335" t="s">
        <v>1262</v>
      </c>
    </row>
    <row r="15" spans="1:20" ht="14.25" customHeight="1" thickBot="1">
      <c r="A15" s="1341" t="s">
        <v>1206</v>
      </c>
      <c r="B15" s="1349" t="s">
        <v>1172</v>
      </c>
      <c r="C15" s="1335">
        <v>24760</v>
      </c>
      <c r="D15" s="1335">
        <v>24440</v>
      </c>
      <c r="E15" s="1335">
        <v>24130</v>
      </c>
      <c r="F15" s="1353">
        <v>9480</v>
      </c>
      <c r="G15" s="1347" t="s">
        <v>1263</v>
      </c>
      <c r="H15" s="1348">
        <f>SUMPRODUCT((B317:B337=基准地价修正!I2)*(C3:F3=基准地价修正!E2)*(C317:F337))</f>
        <v>0</v>
      </c>
      <c r="J15" s="1335" t="s">
        <v>1264</v>
      </c>
      <c r="K15" s="1335" t="s">
        <v>1265</v>
      </c>
      <c r="L15" s="1335" t="s">
        <v>1266</v>
      </c>
      <c r="M15" s="1335" t="s">
        <v>1267</v>
      </c>
      <c r="N15" s="1335" t="s">
        <v>1268</v>
      </c>
      <c r="O15" s="1335" t="s">
        <v>1269</v>
      </c>
      <c r="P15" s="1335" t="s">
        <v>1270</v>
      </c>
      <c r="Q15" s="1335" t="s">
        <v>1271</v>
      </c>
      <c r="R15" s="1335" t="s">
        <v>1272</v>
      </c>
      <c r="S15" s="1335" t="s">
        <v>1273</v>
      </c>
    </row>
    <row r="16" spans="1:20" ht="14.25" customHeight="1" thickBot="1">
      <c r="A16" s="1341" t="s">
        <v>1206</v>
      </c>
      <c r="B16" s="1349" t="s">
        <v>1184</v>
      </c>
      <c r="C16" s="1335">
        <v>22220</v>
      </c>
      <c r="D16" s="1335">
        <v>22310</v>
      </c>
      <c r="E16" s="1335">
        <v>22000</v>
      </c>
      <c r="F16" s="1353">
        <v>8900</v>
      </c>
      <c r="G16" s="1354" t="s">
        <v>1274</v>
      </c>
      <c r="H16" s="1355">
        <f>SUMPRODUCT((B338:B344=基准地价修正!I2)*(C3:F3=基准地价修正!E2)*(C338:F344))</f>
        <v>0</v>
      </c>
      <c r="J16" s="1335" t="s">
        <v>1275</v>
      </c>
      <c r="K16" s="1335" t="s">
        <v>1276</v>
      </c>
      <c r="L16" s="1335" t="s">
        <v>1277</v>
      </c>
      <c r="M16" s="1335" t="s">
        <v>1278</v>
      </c>
      <c r="N16" s="1335" t="s">
        <v>1279</v>
      </c>
      <c r="O16" s="1335" t="s">
        <v>1280</v>
      </c>
      <c r="P16" s="1335" t="s">
        <v>1281</v>
      </c>
      <c r="Q16" s="1335" t="s">
        <v>1282</v>
      </c>
      <c r="R16" s="1335" t="s">
        <v>1283</v>
      </c>
      <c r="S16" s="1335" t="s">
        <v>1284</v>
      </c>
    </row>
    <row r="17" spans="1:19" ht="14.25" customHeight="1" thickBot="1">
      <c r="A17" s="1341" t="s">
        <v>1206</v>
      </c>
      <c r="B17" s="1349" t="s">
        <v>1196</v>
      </c>
      <c r="C17" s="1335">
        <v>24700</v>
      </c>
      <c r="D17" s="1335">
        <v>25150</v>
      </c>
      <c r="E17" s="1335">
        <v>24700</v>
      </c>
      <c r="F17" s="1356"/>
      <c r="H17" s="1357"/>
      <c r="J17" s="1335" t="s">
        <v>1285</v>
      </c>
      <c r="K17" s="1335" t="s">
        <v>1286</v>
      </c>
      <c r="L17" s="1335" t="s">
        <v>1287</v>
      </c>
      <c r="M17" s="1335" t="s">
        <v>1288</v>
      </c>
      <c r="N17" s="1335" t="s">
        <v>1289</v>
      </c>
      <c r="O17" s="1335" t="s">
        <v>1290</v>
      </c>
      <c r="P17" s="1335" t="s">
        <v>1291</v>
      </c>
      <c r="Q17" s="1335" t="s">
        <v>1292</v>
      </c>
      <c r="R17" s="1335" t="s">
        <v>1293</v>
      </c>
      <c r="S17" s="1335" t="s">
        <v>1294</v>
      </c>
    </row>
    <row r="18" spans="1:19" ht="14.25" customHeight="1" thickBot="1">
      <c r="A18" s="1341" t="s">
        <v>1206</v>
      </c>
      <c r="B18" s="1349" t="s">
        <v>1209</v>
      </c>
      <c r="C18" s="1335">
        <v>22350</v>
      </c>
      <c r="D18" s="1335">
        <v>24340</v>
      </c>
      <c r="E18" s="1335">
        <v>24100</v>
      </c>
      <c r="F18" s="1356"/>
      <c r="H18" s="1357"/>
      <c r="J18" s="1335" t="s">
        <v>1295</v>
      </c>
      <c r="K18" s="1335" t="s">
        <v>1296</v>
      </c>
      <c r="L18" s="1335" t="s">
        <v>1297</v>
      </c>
      <c r="M18" s="1335" t="s">
        <v>1298</v>
      </c>
      <c r="N18" s="1335" t="s">
        <v>1299</v>
      </c>
      <c r="O18" s="1335" t="s">
        <v>1300</v>
      </c>
      <c r="P18" s="1335" t="s">
        <v>1301</v>
      </c>
      <c r="Q18" s="1335" t="s">
        <v>1302</v>
      </c>
      <c r="R18" s="1335" t="s">
        <v>1303</v>
      </c>
      <c r="S18" s="1335" t="s">
        <v>1304</v>
      </c>
    </row>
    <row r="19" spans="1:19" ht="14.25" customHeight="1" thickBot="1">
      <c r="A19" s="1341" t="s">
        <v>1206</v>
      </c>
      <c r="B19" s="1349" t="s">
        <v>1220</v>
      </c>
      <c r="C19" s="1335">
        <v>23430</v>
      </c>
      <c r="D19" s="1335">
        <v>21580</v>
      </c>
      <c r="E19" s="1335">
        <v>21350</v>
      </c>
      <c r="F19" s="1356"/>
      <c r="H19" s="1357"/>
      <c r="J19" s="1335" t="s">
        <v>1305</v>
      </c>
      <c r="K19" s="1335" t="s">
        <v>1306</v>
      </c>
      <c r="L19" s="1335" t="s">
        <v>1307</v>
      </c>
      <c r="M19" s="1335" t="s">
        <v>1308</v>
      </c>
      <c r="N19" s="1335" t="s">
        <v>1309</v>
      </c>
      <c r="O19" s="1335" t="s">
        <v>1310</v>
      </c>
      <c r="P19" s="1335" t="s">
        <v>1311</v>
      </c>
      <c r="Q19" s="1335" t="s">
        <v>1312</v>
      </c>
      <c r="R19" s="1335" t="s">
        <v>1313</v>
      </c>
      <c r="S19" s="1335" t="s">
        <v>1314</v>
      </c>
    </row>
    <row r="20" spans="1:19" ht="14.25" customHeight="1" thickBot="1">
      <c r="A20" s="1341" t="s">
        <v>1206</v>
      </c>
      <c r="B20" s="1349" t="s">
        <v>1231</v>
      </c>
      <c r="C20" s="1335">
        <v>27660</v>
      </c>
      <c r="D20" s="1335">
        <v>24240</v>
      </c>
      <c r="E20" s="1335">
        <v>24020</v>
      </c>
      <c r="F20" s="1356"/>
      <c r="J20" s="1335" t="s">
        <v>1315</v>
      </c>
      <c r="K20" s="1335" t="s">
        <v>1316</v>
      </c>
      <c r="L20" s="1335" t="s">
        <v>1317</v>
      </c>
      <c r="M20" s="1335" t="s">
        <v>1318</v>
      </c>
      <c r="N20" s="1335" t="s">
        <v>1319</v>
      </c>
      <c r="O20" s="1335" t="s">
        <v>1320</v>
      </c>
      <c r="P20" s="1335" t="s">
        <v>1321</v>
      </c>
      <c r="Q20" s="1335" t="s">
        <v>1322</v>
      </c>
      <c r="R20" s="1335" t="s">
        <v>1323</v>
      </c>
      <c r="S20" s="1335" t="s">
        <v>1324</v>
      </c>
    </row>
    <row r="21" spans="1:19" ht="14.25" customHeight="1" thickBot="1">
      <c r="A21" s="1341" t="s">
        <v>1206</v>
      </c>
      <c r="B21" s="1349" t="s">
        <v>1242</v>
      </c>
      <c r="C21" s="1335">
        <v>24720</v>
      </c>
      <c r="D21" s="1335">
        <v>21670</v>
      </c>
      <c r="E21" s="1335">
        <v>21510</v>
      </c>
      <c r="F21" s="1356"/>
      <c r="K21" s="1335" t="s">
        <v>1325</v>
      </c>
      <c r="L21" s="1335" t="s">
        <v>1326</v>
      </c>
      <c r="M21" s="1335" t="s">
        <v>1327</v>
      </c>
      <c r="N21" s="1335" t="s">
        <v>1328</v>
      </c>
      <c r="O21" s="1335" t="s">
        <v>1329</v>
      </c>
      <c r="P21" s="1335" t="s">
        <v>1330</v>
      </c>
      <c r="Q21" s="1335" t="s">
        <v>1331</v>
      </c>
      <c r="R21" s="1335" t="s">
        <v>1332</v>
      </c>
      <c r="S21" s="1335" t="s">
        <v>1333</v>
      </c>
    </row>
    <row r="22" spans="1:19" ht="14.25" customHeight="1" thickBot="1">
      <c r="A22" s="1341" t="s">
        <v>1206</v>
      </c>
      <c r="B22" s="1349" t="s">
        <v>1334</v>
      </c>
      <c r="C22" s="1335">
        <v>26530</v>
      </c>
      <c r="D22" s="1335">
        <v>22980</v>
      </c>
      <c r="E22" s="1335">
        <v>22650</v>
      </c>
      <c r="F22" s="1356"/>
      <c r="L22" s="1335" t="s">
        <v>1335</v>
      </c>
      <c r="M22" s="1335" t="s">
        <v>1336</v>
      </c>
      <c r="N22" s="1335" t="s">
        <v>1337</v>
      </c>
      <c r="O22" s="1335" t="s">
        <v>1338</v>
      </c>
      <c r="P22" s="1335" t="s">
        <v>1339</v>
      </c>
      <c r="Q22" s="1335" t="s">
        <v>1340</v>
      </c>
      <c r="R22" s="1335" t="s">
        <v>1341</v>
      </c>
      <c r="S22" s="1349" t="s">
        <v>1342</v>
      </c>
    </row>
    <row r="23" spans="1:19" ht="14.25" customHeight="1" thickBot="1">
      <c r="A23" s="1341" t="s">
        <v>1206</v>
      </c>
      <c r="B23" s="1349" t="s">
        <v>1264</v>
      </c>
      <c r="C23" s="1335">
        <v>24700</v>
      </c>
      <c r="D23" s="1335">
        <v>27290</v>
      </c>
      <c r="E23" s="1335">
        <v>26710</v>
      </c>
      <c r="F23" s="1356"/>
      <c r="L23" s="1335" t="s">
        <v>1343</v>
      </c>
      <c r="M23" s="1335" t="s">
        <v>1344</v>
      </c>
      <c r="N23" s="1335" t="s">
        <v>1345</v>
      </c>
      <c r="O23" s="1335" t="s">
        <v>1346</v>
      </c>
      <c r="P23" s="1335" t="s">
        <v>1347</v>
      </c>
      <c r="Q23" s="1335" t="s">
        <v>1348</v>
      </c>
      <c r="R23" s="1335" t="s">
        <v>1349</v>
      </c>
    </row>
    <row r="24" spans="1:19" ht="14.25" customHeight="1" thickBot="1">
      <c r="A24" s="1341" t="s">
        <v>1206</v>
      </c>
      <c r="B24" s="1349" t="s">
        <v>1275</v>
      </c>
      <c r="C24" s="1335">
        <v>23070</v>
      </c>
      <c r="D24" s="1335">
        <v>24130</v>
      </c>
      <c r="E24" s="1335">
        <v>23860</v>
      </c>
      <c r="F24" s="1356"/>
      <c r="L24" s="1335" t="s">
        <v>1350</v>
      </c>
      <c r="M24" s="1335" t="s">
        <v>1351</v>
      </c>
      <c r="N24" s="1335" t="s">
        <v>1352</v>
      </c>
      <c r="O24" s="1335" t="s">
        <v>1353</v>
      </c>
      <c r="P24" s="1335" t="s">
        <v>1354</v>
      </c>
      <c r="Q24" s="1335" t="s">
        <v>1355</v>
      </c>
      <c r="R24" s="1335" t="s">
        <v>1356</v>
      </c>
    </row>
    <row r="25" spans="1:19" ht="14.25" customHeight="1" thickBot="1">
      <c r="A25" s="1341" t="s">
        <v>1206</v>
      </c>
      <c r="B25" s="1349" t="s">
        <v>1285</v>
      </c>
      <c r="C25" s="1335">
        <v>27550</v>
      </c>
      <c r="D25" s="1335">
        <v>25850</v>
      </c>
      <c r="E25" s="1335">
        <v>25340</v>
      </c>
      <c r="F25" s="1356"/>
      <c r="L25" s="1335" t="s">
        <v>1357</v>
      </c>
      <c r="M25" s="1335" t="s">
        <v>1358</v>
      </c>
      <c r="N25" s="1335" t="s">
        <v>1359</v>
      </c>
      <c r="O25" s="1335" t="s">
        <v>1360</v>
      </c>
      <c r="P25" s="1335" t="s">
        <v>1361</v>
      </c>
      <c r="Q25" s="1335" t="s">
        <v>1362</v>
      </c>
      <c r="R25" s="1335" t="s">
        <v>1363</v>
      </c>
    </row>
    <row r="26" spans="1:19" ht="14.25" customHeight="1" thickBot="1">
      <c r="A26" s="1341" t="s">
        <v>1206</v>
      </c>
      <c r="B26" s="1349" t="s">
        <v>1295</v>
      </c>
      <c r="C26" s="1335"/>
      <c r="D26" s="1335">
        <v>23900</v>
      </c>
      <c r="E26" s="1335">
        <v>23590</v>
      </c>
      <c r="F26" s="1356"/>
      <c r="L26" s="1335" t="s">
        <v>1364</v>
      </c>
      <c r="M26" s="1335" t="s">
        <v>1365</v>
      </c>
      <c r="N26" s="1335" t="s">
        <v>1366</v>
      </c>
      <c r="O26" s="1335" t="s">
        <v>1367</v>
      </c>
      <c r="P26" s="1335" t="s">
        <v>1368</v>
      </c>
      <c r="Q26" s="1335" t="s">
        <v>1369</v>
      </c>
      <c r="R26" s="1335" t="s">
        <v>1370</v>
      </c>
    </row>
    <row r="27" spans="1:19" ht="14.25" customHeight="1" thickBot="1">
      <c r="A27" s="1341" t="s">
        <v>1206</v>
      </c>
      <c r="B27" s="1349" t="s">
        <v>1305</v>
      </c>
      <c r="C27" s="1335"/>
      <c r="D27" s="1335">
        <v>22850</v>
      </c>
      <c r="E27" s="1335">
        <v>21920</v>
      </c>
      <c r="F27" s="1356"/>
      <c r="L27" s="1335" t="s">
        <v>1371</v>
      </c>
      <c r="M27" s="1335" t="s">
        <v>1372</v>
      </c>
      <c r="N27" s="1335" t="s">
        <v>1373</v>
      </c>
      <c r="O27" s="1335" t="s">
        <v>1374</v>
      </c>
      <c r="P27" s="1335" t="s">
        <v>1375</v>
      </c>
      <c r="Q27" s="1335" t="s">
        <v>1376</v>
      </c>
      <c r="R27" s="1335" t="s">
        <v>1377</v>
      </c>
    </row>
    <row r="28" spans="1:19" ht="14.25" customHeight="1" thickBot="1">
      <c r="A28" s="1358" t="s">
        <v>1206</v>
      </c>
      <c r="B28" s="1350" t="s">
        <v>1315</v>
      </c>
      <c r="C28" s="1351"/>
      <c r="D28" s="1351">
        <v>26610</v>
      </c>
      <c r="E28" s="1351">
        <v>26370</v>
      </c>
      <c r="F28" s="1352"/>
      <c r="L28" s="1335" t="s">
        <v>1378</v>
      </c>
      <c r="M28" s="1335" t="s">
        <v>1379</v>
      </c>
      <c r="N28" s="1335" t="s">
        <v>1380</v>
      </c>
      <c r="O28" s="1335" t="s">
        <v>1381</v>
      </c>
      <c r="P28" s="1335" t="s">
        <v>1382</v>
      </c>
      <c r="Q28" s="1335" t="s">
        <v>1383</v>
      </c>
    </row>
    <row r="29" spans="1:19" ht="14.25" customHeight="1" thickBot="1">
      <c r="A29" s="1341" t="s">
        <v>1384</v>
      </c>
      <c r="B29" s="1342" t="s">
        <v>1385</v>
      </c>
      <c r="C29" s="1342">
        <v>22090</v>
      </c>
      <c r="D29" s="1342">
        <v>21860</v>
      </c>
      <c r="E29" s="1342">
        <v>19380</v>
      </c>
      <c r="F29" s="1343">
        <v>6610</v>
      </c>
      <c r="M29" s="1335" t="s">
        <v>1386</v>
      </c>
      <c r="N29" s="1335" t="s">
        <v>1387</v>
      </c>
      <c r="O29" s="1335" t="s">
        <v>1388</v>
      </c>
      <c r="P29" s="1335" t="s">
        <v>1389</v>
      </c>
      <c r="Q29" s="1335" t="s">
        <v>1390</v>
      </c>
    </row>
    <row r="30" spans="1:19" ht="14.25" customHeight="1" thickBot="1">
      <c r="A30" s="1341" t="s">
        <v>1384</v>
      </c>
      <c r="B30" s="1349" t="s">
        <v>1123</v>
      </c>
      <c r="C30" s="1335">
        <v>21380</v>
      </c>
      <c r="D30" s="1335">
        <v>19930</v>
      </c>
      <c r="E30" s="1335">
        <v>19860</v>
      </c>
      <c r="F30" s="1353">
        <v>6010</v>
      </c>
      <c r="H30" s="1357"/>
      <c r="M30" s="1335" t="s">
        <v>1391</v>
      </c>
      <c r="N30" s="1335" t="s">
        <v>1392</v>
      </c>
      <c r="O30" s="1335" t="s">
        <v>1393</v>
      </c>
      <c r="P30" s="1335" t="s">
        <v>2419</v>
      </c>
      <c r="Q30" s="1335" t="s">
        <v>1394</v>
      </c>
    </row>
    <row r="31" spans="1:19" ht="14.25" customHeight="1" thickBot="1">
      <c r="A31" s="1341" t="s">
        <v>1384</v>
      </c>
      <c r="B31" s="1349" t="s">
        <v>1136</v>
      </c>
      <c r="C31" s="1335">
        <v>21670</v>
      </c>
      <c r="D31" s="1335">
        <v>20660</v>
      </c>
      <c r="E31" s="1335">
        <v>20290</v>
      </c>
      <c r="F31" s="1353">
        <v>5840</v>
      </c>
      <c r="H31" s="1357"/>
      <c r="M31" s="1335" t="s">
        <v>1395</v>
      </c>
      <c r="N31" s="1335" t="s">
        <v>1396</v>
      </c>
      <c r="O31" s="1335" t="s">
        <v>1397</v>
      </c>
      <c r="P31" s="1335" t="s">
        <v>1398</v>
      </c>
      <c r="Q31" s="1335" t="s">
        <v>1399</v>
      </c>
    </row>
    <row r="32" spans="1:19" ht="14.25" customHeight="1" thickBot="1">
      <c r="A32" s="1341" t="s">
        <v>1384</v>
      </c>
      <c r="B32" s="1349" t="s">
        <v>1149</v>
      </c>
      <c r="C32" s="1335">
        <v>22280</v>
      </c>
      <c r="D32" s="1335">
        <v>21800</v>
      </c>
      <c r="E32" s="1335">
        <v>17650</v>
      </c>
      <c r="F32" s="1353">
        <v>4690</v>
      </c>
      <c r="H32" s="1357"/>
      <c r="M32" s="1335" t="s">
        <v>1400</v>
      </c>
      <c r="N32" s="1335" t="s">
        <v>1401</v>
      </c>
      <c r="O32" s="1335" t="s">
        <v>1402</v>
      </c>
      <c r="P32" s="1335" t="s">
        <v>1403</v>
      </c>
      <c r="Q32" s="1335" t="s">
        <v>1404</v>
      </c>
    </row>
    <row r="33" spans="1:17" ht="14.25" customHeight="1" thickBot="1">
      <c r="A33" s="1341" t="s">
        <v>1384</v>
      </c>
      <c r="B33" s="1349" t="s">
        <v>1161</v>
      </c>
      <c r="C33" s="1335">
        <v>22130</v>
      </c>
      <c r="D33" s="1335">
        <v>20460</v>
      </c>
      <c r="E33" s="1335">
        <v>18500</v>
      </c>
      <c r="F33" s="1353">
        <v>5340</v>
      </c>
      <c r="H33" s="1357"/>
      <c r="M33" s="1335" t="s">
        <v>1405</v>
      </c>
      <c r="N33" s="1335" t="s">
        <v>1406</v>
      </c>
      <c r="O33" s="1335" t="s">
        <v>1407</v>
      </c>
      <c r="P33" s="1335" t="s">
        <v>1408</v>
      </c>
      <c r="Q33" s="1335" t="s">
        <v>1409</v>
      </c>
    </row>
    <row r="34" spans="1:17" ht="14.25" customHeight="1" thickBot="1">
      <c r="A34" s="1341" t="s">
        <v>1384</v>
      </c>
      <c r="B34" s="1349" t="s">
        <v>1173</v>
      </c>
      <c r="C34" s="1335">
        <v>22070</v>
      </c>
      <c r="D34" s="1335">
        <v>20110</v>
      </c>
      <c r="E34" s="1335">
        <v>18830</v>
      </c>
      <c r="F34" s="1353">
        <v>5190</v>
      </c>
      <c r="H34" s="1357"/>
      <c r="M34" s="1335" t="s">
        <v>1410</v>
      </c>
      <c r="N34" s="1335" t="s">
        <v>1411</v>
      </c>
      <c r="O34" s="1335" t="s">
        <v>1412</v>
      </c>
      <c r="P34" s="1335" t="s">
        <v>1413</v>
      </c>
      <c r="Q34" s="1335" t="s">
        <v>1414</v>
      </c>
    </row>
    <row r="35" spans="1:17" ht="14.25" customHeight="1" thickBot="1">
      <c r="A35" s="1341" t="s">
        <v>1384</v>
      </c>
      <c r="B35" s="1349" t="s">
        <v>1185</v>
      </c>
      <c r="C35" s="1335">
        <v>22240</v>
      </c>
      <c r="D35" s="1335">
        <v>19550</v>
      </c>
      <c r="E35" s="1335">
        <v>19220</v>
      </c>
      <c r="F35" s="1353">
        <v>5800</v>
      </c>
      <c r="H35" s="1357"/>
      <c r="M35" s="1335" t="s">
        <v>1415</v>
      </c>
      <c r="N35" s="1335" t="s">
        <v>1416</v>
      </c>
      <c r="O35" s="1335" t="s">
        <v>1417</v>
      </c>
      <c r="P35" s="1335" t="s">
        <v>1418</v>
      </c>
      <c r="Q35" s="1335" t="s">
        <v>1419</v>
      </c>
    </row>
    <row r="36" spans="1:17" ht="14.25" customHeight="1" thickBot="1">
      <c r="A36" s="1341" t="s">
        <v>1384</v>
      </c>
      <c r="B36" s="1349" t="s">
        <v>1197</v>
      </c>
      <c r="C36" s="1335">
        <v>19750</v>
      </c>
      <c r="D36" s="1335">
        <v>19790</v>
      </c>
      <c r="E36" s="1335">
        <v>18510</v>
      </c>
      <c r="F36" s="1353">
        <v>6520</v>
      </c>
      <c r="H36" s="1357"/>
      <c r="N36" s="1335" t="s">
        <v>1420</v>
      </c>
      <c r="O36" s="1335" t="s">
        <v>1421</v>
      </c>
      <c r="P36" s="1335" t="s">
        <v>1422</v>
      </c>
      <c r="Q36" s="1335" t="s">
        <v>1423</v>
      </c>
    </row>
    <row r="37" spans="1:17" ht="14.25" customHeight="1" thickBot="1">
      <c r="A37" s="1341" t="s">
        <v>1384</v>
      </c>
      <c r="B37" s="1349" t="s">
        <v>1210</v>
      </c>
      <c r="C37" s="1335">
        <v>22380</v>
      </c>
      <c r="D37" s="1335">
        <v>18530</v>
      </c>
      <c r="E37" s="1335">
        <v>17930</v>
      </c>
      <c r="F37" s="1353">
        <v>6270</v>
      </c>
      <c r="H37" s="1359"/>
      <c r="N37" s="1335" t="s">
        <v>1424</v>
      </c>
      <c r="O37" s="1335" t="s">
        <v>1425</v>
      </c>
      <c r="P37" s="1335" t="s">
        <v>1426</v>
      </c>
      <c r="Q37" s="1335" t="s">
        <v>1427</v>
      </c>
    </row>
    <row r="38" spans="1:17" ht="14.25" customHeight="1" thickBot="1">
      <c r="A38" s="1341" t="s">
        <v>1384</v>
      </c>
      <c r="B38" s="1349" t="s">
        <v>1221</v>
      </c>
      <c r="C38" s="1335">
        <v>20200</v>
      </c>
      <c r="D38" s="1335">
        <v>20070</v>
      </c>
      <c r="E38" s="1335">
        <v>19950</v>
      </c>
      <c r="F38" s="1353"/>
      <c r="H38" s="1360"/>
      <c r="N38" s="1335" t="s">
        <v>1428</v>
      </c>
      <c r="O38" s="1335" t="s">
        <v>1429</v>
      </c>
      <c r="P38" s="1335" t="s">
        <v>1430</v>
      </c>
      <c r="Q38" s="1335" t="s">
        <v>1431</v>
      </c>
    </row>
    <row r="39" spans="1:17" ht="14.25" customHeight="1" thickBot="1">
      <c r="A39" s="1341" t="s">
        <v>1384</v>
      </c>
      <c r="B39" s="1349" t="s">
        <v>1232</v>
      </c>
      <c r="C39" s="1335">
        <v>19300</v>
      </c>
      <c r="D39" s="1335">
        <v>20360</v>
      </c>
      <c r="E39" s="1335">
        <v>20230</v>
      </c>
      <c r="F39" s="1353"/>
      <c r="H39" s="1360"/>
      <c r="N39" s="1335" t="s">
        <v>1432</v>
      </c>
      <c r="O39" s="1335" t="s">
        <v>1433</v>
      </c>
      <c r="P39" s="1335" t="s">
        <v>1434</v>
      </c>
      <c r="Q39" s="1335" t="s">
        <v>1435</v>
      </c>
    </row>
    <row r="40" spans="1:17" ht="14.25" customHeight="1" thickBot="1">
      <c r="A40" s="1341" t="s">
        <v>1384</v>
      </c>
      <c r="B40" s="1349" t="s">
        <v>1243</v>
      </c>
      <c r="C40" s="1335">
        <v>20210</v>
      </c>
      <c r="D40" s="1335">
        <v>19060</v>
      </c>
      <c r="E40" s="1335">
        <v>18890</v>
      </c>
      <c r="F40" s="1353"/>
      <c r="H40" s="1360"/>
      <c r="N40" s="1335" t="s">
        <v>1436</v>
      </c>
      <c r="O40" s="1335" t="s">
        <v>1437</v>
      </c>
      <c r="P40" s="1335" t="s">
        <v>1438</v>
      </c>
      <c r="Q40" s="1335" t="s">
        <v>1439</v>
      </c>
    </row>
    <row r="41" spans="1:17" ht="14.25" customHeight="1" thickBot="1">
      <c r="A41" s="1341" t="s">
        <v>1384</v>
      </c>
      <c r="B41" s="1349" t="s">
        <v>1254</v>
      </c>
      <c r="C41" s="1335">
        <v>20560</v>
      </c>
      <c r="D41" s="1335">
        <v>21040</v>
      </c>
      <c r="E41" s="1335">
        <v>20740</v>
      </c>
      <c r="F41" s="1353"/>
      <c r="H41" s="1360"/>
      <c r="N41" s="1349" t="s">
        <v>1440</v>
      </c>
      <c r="O41" s="1349" t="s">
        <v>1441</v>
      </c>
      <c r="Q41" s="1349" t="s">
        <v>1442</v>
      </c>
    </row>
    <row r="42" spans="1:17" ht="14.25" customHeight="1" thickBot="1">
      <c r="A42" s="1341" t="s">
        <v>1384</v>
      </c>
      <c r="B42" s="1349" t="s">
        <v>1265</v>
      </c>
      <c r="C42" s="1335">
        <v>19280</v>
      </c>
      <c r="D42" s="1335">
        <v>22940</v>
      </c>
      <c r="E42" s="1335">
        <v>22500</v>
      </c>
      <c r="F42" s="1353"/>
      <c r="H42" s="1360"/>
      <c r="N42" s="1335" t="s">
        <v>1443</v>
      </c>
      <c r="O42" s="1335" t="s">
        <v>1444</v>
      </c>
      <c r="Q42" s="1335" t="s">
        <v>1445</v>
      </c>
    </row>
    <row r="43" spans="1:17" ht="14.25" customHeight="1" thickBot="1">
      <c r="A43" s="1341" t="s">
        <v>1384</v>
      </c>
      <c r="B43" s="1349" t="s">
        <v>1276</v>
      </c>
      <c r="C43" s="1335">
        <v>21520</v>
      </c>
      <c r="D43" s="1335">
        <v>19230</v>
      </c>
      <c r="E43" s="1335">
        <v>18540</v>
      </c>
      <c r="F43" s="1353"/>
      <c r="H43" s="1360"/>
      <c r="N43" s="1335" t="s">
        <v>1446</v>
      </c>
      <c r="O43" s="1335" t="s">
        <v>1447</v>
      </c>
      <c r="Q43" s="1335" t="s">
        <v>1448</v>
      </c>
    </row>
    <row r="44" spans="1:17" ht="14.25" customHeight="1" thickBot="1">
      <c r="A44" s="1341" t="s">
        <v>1384</v>
      </c>
      <c r="B44" s="1349" t="s">
        <v>1286</v>
      </c>
      <c r="C44" s="1335">
        <v>23260</v>
      </c>
      <c r="D44" s="1335">
        <v>21180</v>
      </c>
      <c r="E44" s="1335">
        <v>20730</v>
      </c>
      <c r="F44" s="1353"/>
      <c r="H44" s="1360"/>
      <c r="N44" s="1335" t="s">
        <v>1449</v>
      </c>
      <c r="O44" s="1335" t="s">
        <v>1450</v>
      </c>
      <c r="Q44" s="1335" t="s">
        <v>1451</v>
      </c>
    </row>
    <row r="45" spans="1:17" ht="14.25" customHeight="1" thickBot="1">
      <c r="A45" s="1341" t="s">
        <v>1384</v>
      </c>
      <c r="B45" s="1349" t="s">
        <v>1296</v>
      </c>
      <c r="C45" s="1335">
        <v>19610</v>
      </c>
      <c r="D45" s="1335">
        <v>18090</v>
      </c>
      <c r="E45" s="1335">
        <v>17970</v>
      </c>
      <c r="F45" s="1353"/>
      <c r="H45" s="1357"/>
      <c r="N45" s="1335" t="s">
        <v>1452</v>
      </c>
      <c r="O45" s="1335" t="s">
        <v>1453</v>
      </c>
      <c r="Q45" s="1335" t="s">
        <v>1454</v>
      </c>
    </row>
    <row r="46" spans="1:17" ht="14.25" customHeight="1" thickBot="1">
      <c r="A46" s="1341" t="s">
        <v>1384</v>
      </c>
      <c r="B46" s="1349" t="s">
        <v>1306</v>
      </c>
      <c r="C46" s="1335">
        <v>21660</v>
      </c>
      <c r="D46" s="1335">
        <v>19190</v>
      </c>
      <c r="E46" s="1335">
        <v>19790</v>
      </c>
      <c r="F46" s="1353"/>
      <c r="H46" s="1360"/>
      <c r="N46" s="1335" t="s">
        <v>1455</v>
      </c>
      <c r="O46" s="1335" t="s">
        <v>1456</v>
      </c>
      <c r="Q46" s="1335" t="s">
        <v>1457</v>
      </c>
    </row>
    <row r="47" spans="1:17" ht="14.25" customHeight="1" thickBot="1">
      <c r="A47" s="1341" t="s">
        <v>1384</v>
      </c>
      <c r="B47" s="1349" t="s">
        <v>1316</v>
      </c>
      <c r="C47" s="1335">
        <v>18220</v>
      </c>
      <c r="D47" s="1335"/>
      <c r="E47" s="1335">
        <v>17220</v>
      </c>
      <c r="F47" s="1353"/>
      <c r="H47" s="1360"/>
      <c r="N47" s="1335" t="s">
        <v>1458</v>
      </c>
      <c r="O47" s="1335" t="s">
        <v>1459</v>
      </c>
    </row>
    <row r="48" spans="1:17" ht="14.25" customHeight="1" thickBot="1">
      <c r="A48" s="1341" t="s">
        <v>1384</v>
      </c>
      <c r="B48" s="1350" t="s">
        <v>1325</v>
      </c>
      <c r="C48" s="1351">
        <v>19430</v>
      </c>
      <c r="D48" s="1351"/>
      <c r="E48" s="1351">
        <v>17830</v>
      </c>
      <c r="F48" s="1361"/>
      <c r="H48" s="1357"/>
      <c r="N48" s="1335" t="s">
        <v>1460</v>
      </c>
      <c r="O48" s="1335" t="s">
        <v>1461</v>
      </c>
    </row>
    <row r="49" spans="1:15" ht="14.25" customHeight="1" thickBot="1">
      <c r="A49" s="1341" t="s">
        <v>1055</v>
      </c>
      <c r="B49" s="1342" t="s">
        <v>1462</v>
      </c>
      <c r="C49" s="1342">
        <v>17090</v>
      </c>
      <c r="D49" s="1342">
        <v>16950</v>
      </c>
      <c r="E49" s="1342">
        <v>16310</v>
      </c>
      <c r="F49" s="1343">
        <v>4540</v>
      </c>
      <c r="H49" s="1360"/>
      <c r="N49" s="1335" t="s">
        <v>1463</v>
      </c>
      <c r="O49" s="1335" t="s">
        <v>1464</v>
      </c>
    </row>
    <row r="50" spans="1:15" ht="14.25" customHeight="1" thickBot="1">
      <c r="A50" s="1341" t="s">
        <v>1055</v>
      </c>
      <c r="B50" s="1335" t="s">
        <v>1124</v>
      </c>
      <c r="C50" s="1335">
        <v>19040</v>
      </c>
      <c r="D50" s="1335">
        <v>16960</v>
      </c>
      <c r="E50" s="1335">
        <v>14800</v>
      </c>
      <c r="F50" s="1353">
        <v>3940</v>
      </c>
      <c r="H50" s="1360"/>
    </row>
    <row r="51" spans="1:15" ht="14.25" customHeight="1" thickBot="1">
      <c r="A51" s="1341" t="s">
        <v>1055</v>
      </c>
      <c r="B51" s="1335" t="s">
        <v>1137</v>
      </c>
      <c r="C51" s="1335">
        <v>17040</v>
      </c>
      <c r="D51" s="1335">
        <v>16930</v>
      </c>
      <c r="E51" s="1335">
        <v>15030</v>
      </c>
      <c r="F51" s="1353">
        <v>4120</v>
      </c>
      <c r="H51" s="1360"/>
    </row>
    <row r="52" spans="1:15" ht="14.25" customHeight="1" thickBot="1">
      <c r="A52" s="1341" t="s">
        <v>1055</v>
      </c>
      <c r="B52" s="1335" t="s">
        <v>1150</v>
      </c>
      <c r="C52" s="1335">
        <v>17110</v>
      </c>
      <c r="D52" s="1335">
        <v>17750</v>
      </c>
      <c r="E52" s="1335">
        <v>17310</v>
      </c>
      <c r="F52" s="1353">
        <v>3220</v>
      </c>
      <c r="H52" s="1360"/>
    </row>
    <row r="53" spans="1:15" ht="14.25" customHeight="1" thickBot="1">
      <c r="A53" s="1341" t="s">
        <v>1055</v>
      </c>
      <c r="B53" s="1335" t="s">
        <v>1162</v>
      </c>
      <c r="C53" s="1335">
        <v>17810</v>
      </c>
      <c r="D53" s="1335">
        <v>17260</v>
      </c>
      <c r="E53" s="1335">
        <v>17090</v>
      </c>
      <c r="F53" s="1353">
        <v>3520</v>
      </c>
      <c r="H53" s="1360"/>
    </row>
    <row r="54" spans="1:15" ht="14.25" customHeight="1" thickBot="1">
      <c r="A54" s="1341" t="s">
        <v>1055</v>
      </c>
      <c r="B54" s="1335" t="s">
        <v>1174</v>
      </c>
      <c r="C54" s="1335">
        <v>17410</v>
      </c>
      <c r="D54" s="1335">
        <v>16780</v>
      </c>
      <c r="E54" s="1335">
        <v>16370</v>
      </c>
      <c r="F54" s="1353">
        <v>3410</v>
      </c>
      <c r="H54" s="1360"/>
    </row>
    <row r="55" spans="1:15" ht="14.25" customHeight="1" thickBot="1">
      <c r="A55" s="1341" t="s">
        <v>1055</v>
      </c>
      <c r="B55" s="1335" t="s">
        <v>1186</v>
      </c>
      <c r="C55" s="1335">
        <v>16930</v>
      </c>
      <c r="D55" s="1335">
        <v>14720</v>
      </c>
      <c r="E55" s="1335">
        <v>15000</v>
      </c>
      <c r="F55" s="1353">
        <v>3710</v>
      </c>
      <c r="H55" s="1360"/>
    </row>
    <row r="56" spans="1:15" ht="14.25" customHeight="1" thickBot="1">
      <c r="A56" s="1341" t="s">
        <v>1055</v>
      </c>
      <c r="B56" s="1335" t="s">
        <v>1198</v>
      </c>
      <c r="C56" s="1335">
        <v>14930</v>
      </c>
      <c r="D56" s="1335">
        <v>15850</v>
      </c>
      <c r="E56" s="1335">
        <v>14320</v>
      </c>
      <c r="F56" s="1353">
        <v>3960</v>
      </c>
      <c r="H56" s="1360"/>
    </row>
    <row r="57" spans="1:15" ht="14.25" customHeight="1" thickBot="1">
      <c r="A57" s="1341" t="s">
        <v>1055</v>
      </c>
      <c r="B57" s="1335" t="s">
        <v>1211</v>
      </c>
      <c r="C57" s="1335">
        <v>16160</v>
      </c>
      <c r="D57" s="1335">
        <v>16190</v>
      </c>
      <c r="E57" s="1335">
        <v>15650</v>
      </c>
      <c r="F57" s="1353">
        <v>4200</v>
      </c>
      <c r="H57" s="1360"/>
    </row>
    <row r="58" spans="1:15" ht="14.25" customHeight="1" thickBot="1">
      <c r="A58" s="1341" t="s">
        <v>1055</v>
      </c>
      <c r="B58" s="1335" t="s">
        <v>1222</v>
      </c>
      <c r="C58" s="1335">
        <v>16360</v>
      </c>
      <c r="D58" s="1335">
        <v>14050</v>
      </c>
      <c r="E58" s="1335">
        <v>16070</v>
      </c>
      <c r="F58" s="1353">
        <v>3990</v>
      </c>
      <c r="H58" s="1360"/>
    </row>
    <row r="59" spans="1:15" ht="14.25" customHeight="1" thickBot="1">
      <c r="A59" s="1341" t="s">
        <v>1055</v>
      </c>
      <c r="B59" s="1335" t="s">
        <v>1233</v>
      </c>
      <c r="C59" s="1335">
        <v>14160</v>
      </c>
      <c r="D59" s="1335">
        <v>16620</v>
      </c>
      <c r="E59" s="1335">
        <v>13940</v>
      </c>
      <c r="F59" s="1353">
        <v>4260</v>
      </c>
      <c r="H59" s="1360"/>
    </row>
    <row r="60" spans="1:15" ht="14.25" customHeight="1" thickBot="1">
      <c r="A60" s="1341" t="s">
        <v>1055</v>
      </c>
      <c r="B60" s="1335" t="s">
        <v>1244</v>
      </c>
      <c r="C60" s="1335">
        <v>16750</v>
      </c>
      <c r="D60" s="1335">
        <v>13910</v>
      </c>
      <c r="E60" s="1335">
        <v>16550</v>
      </c>
      <c r="F60" s="1353">
        <v>4550</v>
      </c>
      <c r="H60" s="1360"/>
    </row>
    <row r="61" spans="1:15" ht="14.25" customHeight="1" thickBot="1">
      <c r="A61" s="1341" t="s">
        <v>1055</v>
      </c>
      <c r="B61" s="1335" t="s">
        <v>1255</v>
      </c>
      <c r="C61" s="1335">
        <v>14000</v>
      </c>
      <c r="D61" s="1335">
        <v>14550</v>
      </c>
      <c r="E61" s="1335">
        <v>13860</v>
      </c>
      <c r="F61" s="1362"/>
      <c r="H61" s="1360"/>
    </row>
    <row r="62" spans="1:15" ht="14.25" customHeight="1" thickBot="1">
      <c r="A62" s="1341" t="s">
        <v>1055</v>
      </c>
      <c r="B62" s="1335" t="s">
        <v>1266</v>
      </c>
      <c r="C62" s="1335">
        <v>14660</v>
      </c>
      <c r="D62" s="1335">
        <v>17450</v>
      </c>
      <c r="E62" s="1335">
        <v>14470</v>
      </c>
      <c r="F62" s="1362"/>
      <c r="H62" s="1360"/>
    </row>
    <row r="63" spans="1:15" ht="14.25" customHeight="1" thickBot="1">
      <c r="A63" s="1341" t="s">
        <v>1055</v>
      </c>
      <c r="B63" s="1335" t="s">
        <v>1277</v>
      </c>
      <c r="C63" s="1335">
        <v>17610</v>
      </c>
      <c r="D63" s="1335">
        <v>16500</v>
      </c>
      <c r="E63" s="1335">
        <v>17330</v>
      </c>
      <c r="F63" s="1362"/>
      <c r="H63" s="1360"/>
    </row>
    <row r="64" spans="1:15" ht="14.25" customHeight="1" thickBot="1">
      <c r="A64" s="1341" t="s">
        <v>1055</v>
      </c>
      <c r="B64" s="1335" t="s">
        <v>1287</v>
      </c>
      <c r="C64" s="1335">
        <v>16590</v>
      </c>
      <c r="D64" s="1335">
        <v>15130</v>
      </c>
      <c r="E64" s="1335">
        <v>16420</v>
      </c>
      <c r="F64" s="1362"/>
      <c r="H64" s="1360"/>
    </row>
    <row r="65" spans="1:8" s="1329" customFormat="1" ht="14.25" customHeight="1" thickBot="1">
      <c r="A65" s="1341" t="s">
        <v>1055</v>
      </c>
      <c r="B65" s="1335" t="s">
        <v>1297</v>
      </c>
      <c r="C65" s="1335">
        <v>15220</v>
      </c>
      <c r="D65" s="1335">
        <v>14660</v>
      </c>
      <c r="E65" s="1335">
        <v>15060</v>
      </c>
      <c r="F65" s="1353"/>
      <c r="H65" s="1360"/>
    </row>
    <row r="66" spans="1:8" s="1329" customFormat="1" ht="14.25" customHeight="1" thickBot="1">
      <c r="A66" s="1341" t="s">
        <v>1055</v>
      </c>
      <c r="B66" s="1335" t="s">
        <v>1307</v>
      </c>
      <c r="C66" s="1335">
        <v>14720</v>
      </c>
      <c r="D66" s="1335">
        <v>15970</v>
      </c>
      <c r="E66" s="1335">
        <v>14610</v>
      </c>
      <c r="F66" s="1353"/>
      <c r="H66" s="1360"/>
    </row>
    <row r="67" spans="1:8" s="1329" customFormat="1" ht="14.25" customHeight="1" thickBot="1">
      <c r="A67" s="1341" t="s">
        <v>1055</v>
      </c>
      <c r="B67" s="1335" t="s">
        <v>1317</v>
      </c>
      <c r="C67" s="1335">
        <v>16080</v>
      </c>
      <c r="D67" s="1335">
        <v>14840</v>
      </c>
      <c r="E67" s="1335">
        <v>15630</v>
      </c>
      <c r="F67" s="1353"/>
      <c r="H67" s="1360"/>
    </row>
    <row r="68" spans="1:8" s="1329" customFormat="1" ht="14.25" customHeight="1" thickBot="1">
      <c r="A68" s="1341" t="s">
        <v>1055</v>
      </c>
      <c r="B68" s="1335" t="s">
        <v>1326</v>
      </c>
      <c r="C68" s="1335">
        <v>14940</v>
      </c>
      <c r="D68" s="1335">
        <v>18000</v>
      </c>
      <c r="E68" s="1335">
        <v>14040</v>
      </c>
      <c r="F68" s="1353"/>
      <c r="H68" s="1360"/>
    </row>
    <row r="69" spans="1:8" s="1329" customFormat="1" ht="14.25" customHeight="1" thickBot="1">
      <c r="A69" s="1341" t="s">
        <v>1055</v>
      </c>
      <c r="B69" s="1335" t="s">
        <v>1335</v>
      </c>
      <c r="C69" s="1335">
        <v>18810</v>
      </c>
      <c r="D69" s="1335">
        <v>15100</v>
      </c>
      <c r="E69" s="1335">
        <v>14710</v>
      </c>
      <c r="F69" s="1353"/>
      <c r="H69" s="1360"/>
    </row>
    <row r="70" spans="1:8" s="1329" customFormat="1" ht="14.25" customHeight="1" thickBot="1">
      <c r="A70" s="1341" t="s">
        <v>1055</v>
      </c>
      <c r="B70" s="1335" t="s">
        <v>1343</v>
      </c>
      <c r="C70" s="1335">
        <v>18270</v>
      </c>
      <c r="D70" s="1335"/>
      <c r="E70" s="1335"/>
      <c r="F70" s="1353"/>
      <c r="H70" s="1360"/>
    </row>
    <row r="71" spans="1:8" s="1329" customFormat="1" ht="14.25" customHeight="1" thickBot="1">
      <c r="A71" s="1341" t="s">
        <v>1055</v>
      </c>
      <c r="B71" s="1335" t="s">
        <v>1350</v>
      </c>
      <c r="C71" s="1335">
        <v>15230</v>
      </c>
      <c r="D71" s="1335"/>
      <c r="E71" s="1335"/>
      <c r="F71" s="1353"/>
      <c r="H71" s="1360"/>
    </row>
    <row r="72" spans="1:8" s="1329" customFormat="1" ht="14.25" customHeight="1" thickBot="1">
      <c r="A72" s="1341" t="s">
        <v>1055</v>
      </c>
      <c r="B72" s="1335" t="s">
        <v>1357</v>
      </c>
      <c r="C72" s="1335"/>
      <c r="D72" s="1335"/>
      <c r="E72" s="1335"/>
      <c r="F72" s="1353">
        <v>4120</v>
      </c>
      <c r="H72" s="1360"/>
    </row>
    <row r="73" spans="1:8" s="1329" customFormat="1" ht="14.25" customHeight="1" thickBot="1">
      <c r="A73" s="1341" t="s">
        <v>1055</v>
      </c>
      <c r="B73" s="1335" t="s">
        <v>1364</v>
      </c>
      <c r="C73" s="1335"/>
      <c r="D73" s="1335"/>
      <c r="E73" s="1335"/>
      <c r="F73" s="1353">
        <v>3930</v>
      </c>
      <c r="H73" s="1360"/>
    </row>
    <row r="74" spans="1:8" s="1329" customFormat="1" ht="14.25" customHeight="1" thickBot="1">
      <c r="A74" s="1341" t="s">
        <v>1055</v>
      </c>
      <c r="B74" s="1335" t="s">
        <v>1371</v>
      </c>
      <c r="C74" s="1335"/>
      <c r="D74" s="1335"/>
      <c r="E74" s="1335"/>
      <c r="F74" s="1353">
        <v>4060</v>
      </c>
      <c r="H74" s="1360"/>
    </row>
    <row r="75" spans="1:8" s="1329" customFormat="1" ht="14.25" customHeight="1" thickBot="1">
      <c r="A75" s="1341" t="s">
        <v>1055</v>
      </c>
      <c r="B75" s="1351" t="s">
        <v>1378</v>
      </c>
      <c r="C75" s="1351"/>
      <c r="D75" s="1351"/>
      <c r="E75" s="1351"/>
      <c r="F75" s="1361">
        <v>3750</v>
      </c>
      <c r="H75" s="1360"/>
    </row>
    <row r="76" spans="1:8" s="1329" customFormat="1" ht="14.25" customHeight="1" thickBot="1">
      <c r="A76" s="1341" t="s">
        <v>1465</v>
      </c>
      <c r="B76" s="1342" t="s">
        <v>1466</v>
      </c>
      <c r="C76" s="1342">
        <v>14690</v>
      </c>
      <c r="D76" s="1342">
        <v>14640</v>
      </c>
      <c r="E76" s="1342">
        <v>14590</v>
      </c>
      <c r="F76" s="1343">
        <v>3060</v>
      </c>
      <c r="H76" s="1360"/>
    </row>
    <row r="77" spans="1:8" s="1329" customFormat="1" ht="14.25" customHeight="1" thickBot="1">
      <c r="A77" s="1341" t="s">
        <v>1465</v>
      </c>
      <c r="B77" s="1335" t="s">
        <v>1125</v>
      </c>
      <c r="C77" s="1335">
        <v>12550</v>
      </c>
      <c r="D77" s="1335">
        <v>12480</v>
      </c>
      <c r="E77" s="1335">
        <v>12450</v>
      </c>
      <c r="F77" s="1353">
        <v>2590</v>
      </c>
      <c r="H77" s="1360"/>
    </row>
    <row r="78" spans="1:8" s="1329" customFormat="1" ht="14.25" customHeight="1" thickBot="1">
      <c r="A78" s="1341" t="s">
        <v>1465</v>
      </c>
      <c r="B78" s="1335" t="s">
        <v>1138</v>
      </c>
      <c r="C78" s="1335">
        <v>14360</v>
      </c>
      <c r="D78" s="1335">
        <v>14320</v>
      </c>
      <c r="E78" s="1335">
        <v>12510</v>
      </c>
      <c r="F78" s="1353">
        <v>2700</v>
      </c>
      <c r="H78" s="1360"/>
    </row>
    <row r="79" spans="1:8" s="1329" customFormat="1" ht="14.25" customHeight="1" thickBot="1">
      <c r="A79" s="1341" t="s">
        <v>1465</v>
      </c>
      <c r="B79" s="1335" t="s">
        <v>1151</v>
      </c>
      <c r="C79" s="1335">
        <v>12590</v>
      </c>
      <c r="D79" s="1335">
        <v>12540</v>
      </c>
      <c r="E79" s="1335">
        <v>12350</v>
      </c>
      <c r="F79" s="1353">
        <v>2740</v>
      </c>
      <c r="H79" s="1360"/>
    </row>
    <row r="80" spans="1:8" s="1329" customFormat="1" ht="14.25" customHeight="1" thickBot="1">
      <c r="A80" s="1341" t="s">
        <v>1465</v>
      </c>
      <c r="B80" s="1335" t="s">
        <v>1163</v>
      </c>
      <c r="C80" s="1335">
        <v>12450</v>
      </c>
      <c r="D80" s="1335">
        <v>12370</v>
      </c>
      <c r="E80" s="1335">
        <v>10790</v>
      </c>
      <c r="F80" s="1353">
        <v>2290</v>
      </c>
      <c r="H80" s="1360"/>
    </row>
    <row r="81" spans="1:8" s="1329" customFormat="1" ht="14.25" customHeight="1" thickBot="1">
      <c r="A81" s="1341" t="s">
        <v>1465</v>
      </c>
      <c r="B81" s="1335" t="s">
        <v>1175</v>
      </c>
      <c r="C81" s="1335">
        <v>14210</v>
      </c>
      <c r="D81" s="1335">
        <v>14150</v>
      </c>
      <c r="E81" s="1335">
        <v>12730</v>
      </c>
      <c r="F81" s="1353">
        <v>2240</v>
      </c>
      <c r="H81" s="1360"/>
    </row>
    <row r="82" spans="1:8" s="1329" customFormat="1" ht="14.25" customHeight="1" thickBot="1">
      <c r="A82" s="1341" t="s">
        <v>1465</v>
      </c>
      <c r="B82" s="1335" t="s">
        <v>1187</v>
      </c>
      <c r="C82" s="1335">
        <v>10860</v>
      </c>
      <c r="D82" s="1335">
        <v>10820</v>
      </c>
      <c r="E82" s="1335">
        <v>14720</v>
      </c>
      <c r="F82" s="1353">
        <v>2490</v>
      </c>
      <c r="H82" s="1360"/>
    </row>
    <row r="83" spans="1:8" s="1329" customFormat="1" ht="14.25" customHeight="1" thickBot="1">
      <c r="A83" s="1341" t="s">
        <v>1465</v>
      </c>
      <c r="B83" s="1335" t="s">
        <v>1199</v>
      </c>
      <c r="C83" s="1335">
        <v>12810</v>
      </c>
      <c r="D83" s="1335">
        <v>12760</v>
      </c>
      <c r="E83" s="1335">
        <v>14830</v>
      </c>
      <c r="F83" s="1353">
        <v>2450</v>
      </c>
      <c r="H83" s="1360"/>
    </row>
    <row r="84" spans="1:8" s="1329" customFormat="1" ht="14.25" customHeight="1" thickBot="1">
      <c r="A84" s="1341" t="s">
        <v>1465</v>
      </c>
      <c r="B84" s="1335" t="s">
        <v>1212</v>
      </c>
      <c r="C84" s="1335">
        <v>14950</v>
      </c>
      <c r="D84" s="1335">
        <v>14810</v>
      </c>
      <c r="E84" s="1335">
        <v>12590</v>
      </c>
      <c r="F84" s="1353">
        <v>2540</v>
      </c>
      <c r="H84" s="1360"/>
    </row>
    <row r="85" spans="1:8" s="1329" customFormat="1" ht="14.25" customHeight="1" thickBot="1">
      <c r="A85" s="1341" t="s">
        <v>1465</v>
      </c>
      <c r="B85" s="1335" t="s">
        <v>1223</v>
      </c>
      <c r="C85" s="1335">
        <v>14960</v>
      </c>
      <c r="D85" s="1335">
        <v>14890</v>
      </c>
      <c r="E85" s="1335">
        <v>12840</v>
      </c>
      <c r="F85" s="1353">
        <v>2840</v>
      </c>
      <c r="H85" s="1360"/>
    </row>
    <row r="86" spans="1:8" s="1329" customFormat="1" ht="14.25" customHeight="1" thickBot="1">
      <c r="A86" s="1341" t="s">
        <v>1465</v>
      </c>
      <c r="B86" s="1335" t="s">
        <v>1234</v>
      </c>
      <c r="C86" s="1335">
        <v>12730</v>
      </c>
      <c r="D86" s="1335">
        <v>12660</v>
      </c>
      <c r="E86" s="1335">
        <v>13310</v>
      </c>
      <c r="F86" s="1353">
        <v>3140</v>
      </c>
      <c r="H86" s="1360"/>
    </row>
    <row r="87" spans="1:8" s="1329" customFormat="1" ht="14.25" customHeight="1" thickBot="1">
      <c r="A87" s="1341" t="s">
        <v>1465</v>
      </c>
      <c r="B87" s="1335" t="s">
        <v>1245</v>
      </c>
      <c r="C87" s="1335">
        <v>12940</v>
      </c>
      <c r="D87" s="1335">
        <v>12890</v>
      </c>
      <c r="E87" s="1335">
        <v>11580</v>
      </c>
      <c r="F87" s="1362"/>
      <c r="H87" s="1360"/>
    </row>
    <row r="88" spans="1:8" s="1329" customFormat="1" ht="14.25" customHeight="1" thickBot="1">
      <c r="A88" s="1341" t="s">
        <v>1465</v>
      </c>
      <c r="B88" s="1335" t="s">
        <v>1256</v>
      </c>
      <c r="C88" s="1335">
        <v>13430</v>
      </c>
      <c r="D88" s="1335">
        <v>13360</v>
      </c>
      <c r="E88" s="1335">
        <v>12790</v>
      </c>
      <c r="F88" s="1362"/>
      <c r="H88" s="1360"/>
    </row>
    <row r="89" spans="1:8" s="1329" customFormat="1" ht="14.25" customHeight="1" thickBot="1">
      <c r="A89" s="1341" t="s">
        <v>1465</v>
      </c>
      <c r="B89" s="1335" t="s">
        <v>1267</v>
      </c>
      <c r="C89" s="1335">
        <v>11680</v>
      </c>
      <c r="D89" s="1335">
        <v>11630</v>
      </c>
      <c r="E89" s="1335">
        <v>11320</v>
      </c>
      <c r="F89" s="1362"/>
      <c r="H89" s="1360"/>
    </row>
    <row r="90" spans="1:8" s="1329" customFormat="1" ht="14.25" customHeight="1" thickBot="1">
      <c r="A90" s="1341" t="s">
        <v>1465</v>
      </c>
      <c r="B90" s="1335" t="s">
        <v>1278</v>
      </c>
      <c r="C90" s="1335">
        <v>12890</v>
      </c>
      <c r="D90" s="1335">
        <v>12820</v>
      </c>
      <c r="E90" s="1335">
        <v>12710</v>
      </c>
      <c r="F90" s="1362"/>
      <c r="H90" s="1360"/>
    </row>
    <row r="91" spans="1:8" s="1329" customFormat="1" ht="14.25" customHeight="1" thickBot="1">
      <c r="A91" s="1341" t="s">
        <v>1465</v>
      </c>
      <c r="B91" s="1335" t="s">
        <v>1288</v>
      </c>
      <c r="C91" s="1335">
        <v>11410</v>
      </c>
      <c r="D91" s="1335">
        <v>11360</v>
      </c>
      <c r="E91" s="1335">
        <v>12670</v>
      </c>
      <c r="F91" s="1362"/>
      <c r="H91" s="1360"/>
    </row>
    <row r="92" spans="1:8" s="1329" customFormat="1" ht="14.25" customHeight="1" thickBot="1">
      <c r="A92" s="1341" t="s">
        <v>1465</v>
      </c>
      <c r="B92" s="1335" t="s">
        <v>1298</v>
      </c>
      <c r="C92" s="1335">
        <v>12770</v>
      </c>
      <c r="D92" s="1335">
        <v>12740</v>
      </c>
      <c r="E92" s="1335">
        <v>11970</v>
      </c>
      <c r="F92" s="1362"/>
      <c r="H92" s="1360"/>
    </row>
    <row r="93" spans="1:8" s="1329" customFormat="1" ht="14.25" customHeight="1" thickBot="1">
      <c r="A93" s="1341" t="s">
        <v>1465</v>
      </c>
      <c r="B93" s="1335" t="s">
        <v>1308</v>
      </c>
      <c r="C93" s="1335">
        <v>12740</v>
      </c>
      <c r="D93" s="1335">
        <v>12700</v>
      </c>
      <c r="E93" s="1335">
        <v>12540</v>
      </c>
      <c r="F93" s="1362"/>
      <c r="H93" s="1360"/>
    </row>
    <row r="94" spans="1:8" s="1329" customFormat="1" ht="14.25" customHeight="1" thickBot="1">
      <c r="A94" s="1341" t="s">
        <v>1465</v>
      </c>
      <c r="B94" s="1335" t="s">
        <v>1318</v>
      </c>
      <c r="C94" s="1335">
        <v>12020</v>
      </c>
      <c r="D94" s="1335">
        <v>11990</v>
      </c>
      <c r="E94" s="1335">
        <v>13110</v>
      </c>
      <c r="F94" s="1362"/>
      <c r="H94" s="1360"/>
    </row>
    <row r="95" spans="1:8" s="1329" customFormat="1" ht="14.25" customHeight="1" thickBot="1">
      <c r="A95" s="1341" t="s">
        <v>1465</v>
      </c>
      <c r="B95" s="1335" t="s">
        <v>1327</v>
      </c>
      <c r="C95" s="1335">
        <v>12620</v>
      </c>
      <c r="D95" s="1335">
        <v>12580</v>
      </c>
      <c r="E95" s="1335">
        <v>13160</v>
      </c>
      <c r="F95" s="1353"/>
      <c r="H95" s="1360"/>
    </row>
    <row r="96" spans="1:8" s="1329" customFormat="1" ht="14.25" customHeight="1" thickBot="1">
      <c r="A96" s="1341" t="s">
        <v>1465</v>
      </c>
      <c r="B96" s="1335" t="s">
        <v>1336</v>
      </c>
      <c r="C96" s="1335">
        <v>13200</v>
      </c>
      <c r="D96" s="1335">
        <v>13150</v>
      </c>
      <c r="E96" s="1335">
        <v>12900</v>
      </c>
      <c r="F96" s="1353"/>
      <c r="H96" s="1360"/>
    </row>
    <row r="97" spans="1:8" s="1329" customFormat="1" ht="14.25" customHeight="1" thickBot="1">
      <c r="A97" s="1341" t="s">
        <v>1465</v>
      </c>
      <c r="B97" s="1335" t="s">
        <v>1344</v>
      </c>
      <c r="C97" s="1335">
        <v>13270</v>
      </c>
      <c r="D97" s="1335">
        <v>13210</v>
      </c>
      <c r="E97" s="1335">
        <v>11080</v>
      </c>
      <c r="F97" s="1353"/>
      <c r="H97" s="1360"/>
    </row>
    <row r="98" spans="1:8" s="1329" customFormat="1" ht="14.25" customHeight="1" thickBot="1">
      <c r="A98" s="1341" t="s">
        <v>1465</v>
      </c>
      <c r="B98" s="1335" t="s">
        <v>1351</v>
      </c>
      <c r="C98" s="1335">
        <v>13010</v>
      </c>
      <c r="D98" s="1335">
        <v>12930</v>
      </c>
      <c r="E98" s="1335">
        <v>12840</v>
      </c>
      <c r="F98" s="1353"/>
      <c r="H98" s="1360"/>
    </row>
    <row r="99" spans="1:8" s="1329" customFormat="1" ht="14.25" customHeight="1" thickBot="1">
      <c r="A99" s="1341" t="s">
        <v>1465</v>
      </c>
      <c r="B99" s="1335" t="s">
        <v>1358</v>
      </c>
      <c r="C99" s="1335">
        <v>11190</v>
      </c>
      <c r="D99" s="1335">
        <v>11130</v>
      </c>
      <c r="E99" s="1335"/>
      <c r="F99" s="1353"/>
      <c r="H99" s="1360"/>
    </row>
    <row r="100" spans="1:8" s="1329" customFormat="1" ht="14.25" customHeight="1" thickBot="1">
      <c r="A100" s="1341" t="s">
        <v>1465</v>
      </c>
      <c r="B100" s="1335" t="s">
        <v>1365</v>
      </c>
      <c r="C100" s="1335">
        <v>14280</v>
      </c>
      <c r="D100" s="1335">
        <v>14180</v>
      </c>
      <c r="E100" s="1335"/>
      <c r="F100" s="1353"/>
      <c r="H100" s="1360"/>
    </row>
    <row r="101" spans="1:8" s="1329" customFormat="1" ht="14.25" customHeight="1" thickBot="1">
      <c r="A101" s="1341" t="s">
        <v>1465</v>
      </c>
      <c r="B101" s="1335" t="s">
        <v>1372</v>
      </c>
      <c r="C101" s="1335">
        <v>12960</v>
      </c>
      <c r="D101" s="1335">
        <v>12890</v>
      </c>
      <c r="E101" s="1335"/>
      <c r="F101" s="1353"/>
      <c r="H101" s="1360"/>
    </row>
    <row r="102" spans="1:8" s="1329" customFormat="1" ht="14.25" customHeight="1" thickBot="1">
      <c r="A102" s="1341" t="s">
        <v>1465</v>
      </c>
      <c r="B102" s="1335" t="s">
        <v>1379</v>
      </c>
      <c r="C102" s="1335"/>
      <c r="D102" s="1335"/>
      <c r="E102" s="1335"/>
      <c r="F102" s="1353">
        <v>3100</v>
      </c>
      <c r="H102" s="1360"/>
    </row>
    <row r="103" spans="1:8" s="1329" customFormat="1" ht="14.25" customHeight="1" thickBot="1">
      <c r="A103" s="1341" t="s">
        <v>1465</v>
      </c>
      <c r="B103" s="1335" t="s">
        <v>1386</v>
      </c>
      <c r="C103" s="1335"/>
      <c r="D103" s="1335"/>
      <c r="E103" s="1335"/>
      <c r="F103" s="1353">
        <v>2320</v>
      </c>
      <c r="H103" s="1360"/>
    </row>
    <row r="104" spans="1:8" s="1329" customFormat="1" ht="14.25" customHeight="1" thickBot="1">
      <c r="A104" s="1341" t="s">
        <v>1465</v>
      </c>
      <c r="B104" s="1335" t="s">
        <v>1391</v>
      </c>
      <c r="C104" s="1335"/>
      <c r="D104" s="1335"/>
      <c r="E104" s="1335"/>
      <c r="F104" s="1353">
        <v>2320</v>
      </c>
      <c r="H104" s="1360"/>
    </row>
    <row r="105" spans="1:8" s="1329" customFormat="1" ht="14.25" customHeight="1" thickBot="1">
      <c r="A105" s="1341" t="s">
        <v>1465</v>
      </c>
      <c r="B105" s="1335" t="s">
        <v>1395</v>
      </c>
      <c r="C105" s="1335"/>
      <c r="D105" s="1335"/>
      <c r="E105" s="1335"/>
      <c r="F105" s="1353">
        <v>2320</v>
      </c>
      <c r="H105" s="1360"/>
    </row>
    <row r="106" spans="1:8" s="1329" customFormat="1" ht="14.25" customHeight="1" thickBot="1">
      <c r="A106" s="1341" t="s">
        <v>1465</v>
      </c>
      <c r="B106" s="1335" t="s">
        <v>1400</v>
      </c>
      <c r="C106" s="1335"/>
      <c r="D106" s="1335"/>
      <c r="E106" s="1335"/>
      <c r="F106" s="1353">
        <v>2320</v>
      </c>
      <c r="H106" s="1360"/>
    </row>
    <row r="107" spans="1:8" s="1329" customFormat="1" ht="14.25" customHeight="1" thickBot="1">
      <c r="A107" s="1341" t="s">
        <v>1465</v>
      </c>
      <c r="B107" s="1335" t="s">
        <v>1405</v>
      </c>
      <c r="C107" s="1335"/>
      <c r="D107" s="1335"/>
      <c r="E107" s="1335"/>
      <c r="F107" s="1353">
        <v>2280</v>
      </c>
      <c r="H107" s="1360"/>
    </row>
    <row r="108" spans="1:8" s="1329" customFormat="1" ht="14.25" customHeight="1" thickBot="1">
      <c r="A108" s="1341" t="s">
        <v>1465</v>
      </c>
      <c r="B108" s="1335" t="s">
        <v>1410</v>
      </c>
      <c r="C108" s="1335"/>
      <c r="D108" s="1335"/>
      <c r="E108" s="1335"/>
      <c r="F108" s="1353">
        <v>2280</v>
      </c>
      <c r="H108" s="1360"/>
    </row>
    <row r="109" spans="1:8" s="1329" customFormat="1" ht="14.25" customHeight="1" thickBot="1">
      <c r="A109" s="1341" t="s">
        <v>1465</v>
      </c>
      <c r="B109" s="1351" t="s">
        <v>1415</v>
      </c>
      <c r="C109" s="1351"/>
      <c r="D109" s="1351"/>
      <c r="E109" s="1351"/>
      <c r="F109" s="1361">
        <v>2280</v>
      </c>
      <c r="H109" s="1360"/>
    </row>
    <row r="110" spans="1:8" s="1329" customFormat="1" ht="14.25" customHeight="1" thickBot="1">
      <c r="A110" s="1341" t="s">
        <v>210</v>
      </c>
      <c r="B110" s="1342" t="s">
        <v>1467</v>
      </c>
      <c r="C110" s="1342">
        <v>10520</v>
      </c>
      <c r="D110" s="1342">
        <v>10490</v>
      </c>
      <c r="E110" s="1342">
        <v>10760</v>
      </c>
      <c r="F110" s="1343">
        <v>2160</v>
      </c>
      <c r="H110" s="1360"/>
    </row>
    <row r="111" spans="1:8" s="1329" customFormat="1" ht="14.25" customHeight="1" thickBot="1">
      <c r="A111" s="1341" t="s">
        <v>210</v>
      </c>
      <c r="B111" s="1335" t="s">
        <v>1126</v>
      </c>
      <c r="C111" s="1335">
        <v>10090</v>
      </c>
      <c r="D111" s="1335">
        <v>10060</v>
      </c>
      <c r="E111" s="1335">
        <v>10300</v>
      </c>
      <c r="F111" s="1353">
        <v>2010</v>
      </c>
      <c r="H111" s="1360"/>
    </row>
    <row r="112" spans="1:8" s="1329" customFormat="1" ht="14.25" customHeight="1" thickBot="1">
      <c r="A112" s="1341" t="s">
        <v>210</v>
      </c>
      <c r="B112" s="1335" t="s">
        <v>1139</v>
      </c>
      <c r="C112" s="1335">
        <v>9910</v>
      </c>
      <c r="D112" s="1335">
        <v>9850</v>
      </c>
      <c r="E112" s="1335">
        <v>9960</v>
      </c>
      <c r="F112" s="1353">
        <v>2090</v>
      </c>
      <c r="H112" s="1360"/>
    </row>
    <row r="113" spans="1:8" s="1329" customFormat="1" ht="14.25" customHeight="1" thickBot="1">
      <c r="A113" s="1341" t="s">
        <v>210</v>
      </c>
      <c r="B113" s="1335" t="s">
        <v>1152</v>
      </c>
      <c r="C113" s="1335">
        <v>11430</v>
      </c>
      <c r="D113" s="1335">
        <v>11400</v>
      </c>
      <c r="E113" s="1335">
        <v>11710</v>
      </c>
      <c r="F113" s="1353">
        <v>2050</v>
      </c>
      <c r="H113" s="1360"/>
    </row>
    <row r="114" spans="1:8" s="1329" customFormat="1" ht="14.25" customHeight="1" thickBot="1">
      <c r="A114" s="1341" t="s">
        <v>210</v>
      </c>
      <c r="B114" s="1335" t="s">
        <v>1164</v>
      </c>
      <c r="C114" s="1335">
        <v>11390</v>
      </c>
      <c r="D114" s="1335">
        <v>11350</v>
      </c>
      <c r="E114" s="1335">
        <v>11640</v>
      </c>
      <c r="F114" s="1353">
        <v>1620</v>
      </c>
      <c r="H114" s="1360"/>
    </row>
    <row r="115" spans="1:8" s="1329" customFormat="1" ht="14.25" customHeight="1" thickBot="1">
      <c r="A115" s="1341" t="s">
        <v>210</v>
      </c>
      <c r="B115" s="1335" t="s">
        <v>1176</v>
      </c>
      <c r="C115" s="1335">
        <v>9930</v>
      </c>
      <c r="D115" s="1335">
        <v>9900</v>
      </c>
      <c r="E115" s="1335">
        <v>10160</v>
      </c>
      <c r="F115" s="1353">
        <v>1580</v>
      </c>
      <c r="H115" s="1360"/>
    </row>
    <row r="116" spans="1:8" s="1329" customFormat="1" ht="14.25" customHeight="1" thickBot="1">
      <c r="A116" s="1341" t="s">
        <v>210</v>
      </c>
      <c r="B116" s="1335" t="s">
        <v>1188</v>
      </c>
      <c r="C116" s="1335">
        <v>9150</v>
      </c>
      <c r="D116" s="1335">
        <v>9120</v>
      </c>
      <c r="E116" s="1335">
        <v>9380</v>
      </c>
      <c r="F116" s="1353">
        <v>1750</v>
      </c>
      <c r="H116" s="1360"/>
    </row>
    <row r="117" spans="1:8" s="1329" customFormat="1" ht="14.25" customHeight="1" thickBot="1">
      <c r="A117" s="1341" t="s">
        <v>210</v>
      </c>
      <c r="B117" s="1335" t="s">
        <v>1200</v>
      </c>
      <c r="C117" s="1335">
        <v>10680</v>
      </c>
      <c r="D117" s="1335">
        <v>10650</v>
      </c>
      <c r="E117" s="1335">
        <v>10970</v>
      </c>
      <c r="F117" s="1353">
        <v>1730</v>
      </c>
      <c r="H117" s="1360"/>
    </row>
    <row r="118" spans="1:8" s="1329" customFormat="1" ht="14.25" customHeight="1" thickBot="1">
      <c r="A118" s="1341" t="s">
        <v>210</v>
      </c>
      <c r="B118" s="1335" t="s">
        <v>1213</v>
      </c>
      <c r="C118" s="1335">
        <v>10080</v>
      </c>
      <c r="D118" s="1335">
        <v>10050</v>
      </c>
      <c r="E118" s="1335">
        <v>10350</v>
      </c>
      <c r="F118" s="1353">
        <v>1920</v>
      </c>
      <c r="H118" s="1360"/>
    </row>
    <row r="119" spans="1:8" s="1329" customFormat="1" ht="14.25" customHeight="1" thickBot="1">
      <c r="A119" s="1341" t="s">
        <v>210</v>
      </c>
      <c r="B119" s="1335" t="s">
        <v>1224</v>
      </c>
      <c r="C119" s="1335">
        <v>9450</v>
      </c>
      <c r="D119" s="1335">
        <v>9410</v>
      </c>
      <c r="E119" s="1335">
        <v>9680</v>
      </c>
      <c r="F119" s="1353">
        <v>1880</v>
      </c>
      <c r="H119" s="1360"/>
    </row>
    <row r="120" spans="1:8" s="1329" customFormat="1" ht="14.25" customHeight="1" thickBot="1">
      <c r="A120" s="1341" t="s">
        <v>210</v>
      </c>
      <c r="B120" s="1335" t="s">
        <v>1235</v>
      </c>
      <c r="C120" s="1335">
        <v>8730</v>
      </c>
      <c r="D120" s="1335">
        <v>8700</v>
      </c>
      <c r="E120" s="1335">
        <v>8950</v>
      </c>
      <c r="F120" s="1353">
        <v>1830</v>
      </c>
      <c r="H120" s="1360"/>
    </row>
    <row r="121" spans="1:8" s="1329" customFormat="1" ht="14.25" customHeight="1" thickBot="1">
      <c r="A121" s="1341" t="s">
        <v>210</v>
      </c>
      <c r="B121" s="1335" t="s">
        <v>1246</v>
      </c>
      <c r="C121" s="1335">
        <v>10070</v>
      </c>
      <c r="D121" s="1335">
        <v>10040</v>
      </c>
      <c r="E121" s="1335">
        <v>10270</v>
      </c>
      <c r="F121" s="1353">
        <v>1960</v>
      </c>
      <c r="H121" s="1360"/>
    </row>
    <row r="122" spans="1:8" s="1329" customFormat="1" ht="14.25" customHeight="1" thickBot="1">
      <c r="A122" s="1341" t="s">
        <v>210</v>
      </c>
      <c r="B122" s="1335" t="s">
        <v>1257</v>
      </c>
      <c r="C122" s="1335">
        <v>10500</v>
      </c>
      <c r="D122" s="1335">
        <v>10470</v>
      </c>
      <c r="E122" s="1335">
        <v>10780</v>
      </c>
      <c r="F122" s="1353">
        <v>2180</v>
      </c>
      <c r="H122" s="1360"/>
    </row>
    <row r="123" spans="1:8" s="1329" customFormat="1" ht="14.25" customHeight="1" thickBot="1">
      <c r="A123" s="1341" t="s">
        <v>210</v>
      </c>
      <c r="B123" s="1335" t="s">
        <v>1268</v>
      </c>
      <c r="C123" s="1335">
        <v>10390</v>
      </c>
      <c r="D123" s="1335">
        <v>10360</v>
      </c>
      <c r="E123" s="1335">
        <v>10660</v>
      </c>
      <c r="F123" s="1353">
        <v>2040</v>
      </c>
      <c r="H123" s="1360"/>
    </row>
    <row r="124" spans="1:8" s="1329" customFormat="1" ht="14.25" customHeight="1" thickBot="1">
      <c r="A124" s="1341" t="s">
        <v>210</v>
      </c>
      <c r="B124" s="1335" t="s">
        <v>1279</v>
      </c>
      <c r="C124" s="1335">
        <v>10390</v>
      </c>
      <c r="D124" s="1335">
        <v>10360</v>
      </c>
      <c r="E124" s="1335">
        <v>10680</v>
      </c>
      <c r="F124" s="1362"/>
      <c r="H124" s="1360"/>
    </row>
    <row r="125" spans="1:8" s="1329" customFormat="1" ht="14.25" customHeight="1" thickBot="1">
      <c r="A125" s="1341" t="s">
        <v>210</v>
      </c>
      <c r="B125" s="1335" t="s">
        <v>1289</v>
      </c>
      <c r="C125" s="1335">
        <v>10440</v>
      </c>
      <c r="D125" s="1335">
        <v>10410</v>
      </c>
      <c r="E125" s="1335">
        <v>10710</v>
      </c>
      <c r="F125" s="1362"/>
      <c r="H125" s="1360"/>
    </row>
    <row r="126" spans="1:8" s="1329" customFormat="1" ht="14.25" customHeight="1" thickBot="1">
      <c r="A126" s="1341" t="s">
        <v>210</v>
      </c>
      <c r="B126" s="1335" t="s">
        <v>1299</v>
      </c>
      <c r="C126" s="1335">
        <v>10780</v>
      </c>
      <c r="D126" s="1335">
        <v>10750</v>
      </c>
      <c r="E126" s="1335">
        <v>11080</v>
      </c>
      <c r="F126" s="1362"/>
      <c r="H126" s="1360"/>
    </row>
    <row r="127" spans="1:8" s="1329" customFormat="1" ht="14.25" customHeight="1" thickBot="1">
      <c r="A127" s="1341" t="s">
        <v>210</v>
      </c>
      <c r="B127" s="1335" t="s">
        <v>1309</v>
      </c>
      <c r="C127" s="1335">
        <v>10100</v>
      </c>
      <c r="D127" s="1335">
        <v>10070</v>
      </c>
      <c r="E127" s="1335">
        <v>10350</v>
      </c>
      <c r="F127" s="1362"/>
      <c r="H127" s="1360"/>
    </row>
    <row r="128" spans="1:8" s="1329" customFormat="1" ht="14.25" customHeight="1" thickBot="1">
      <c r="A128" s="1341" t="s">
        <v>210</v>
      </c>
      <c r="B128" s="1335" t="s">
        <v>1319</v>
      </c>
      <c r="C128" s="1335">
        <v>9200</v>
      </c>
      <c r="D128" s="1335">
        <v>9160</v>
      </c>
      <c r="E128" s="1335">
        <v>9660</v>
      </c>
      <c r="F128" s="1362"/>
      <c r="H128" s="1360"/>
    </row>
    <row r="129" spans="1:8" s="1329" customFormat="1" ht="14.25" customHeight="1" thickBot="1">
      <c r="A129" s="1341" t="s">
        <v>210</v>
      </c>
      <c r="B129" s="1335" t="s">
        <v>1328</v>
      </c>
      <c r="C129" s="1335">
        <v>10340</v>
      </c>
      <c r="D129" s="1335">
        <v>10310</v>
      </c>
      <c r="E129" s="1335">
        <v>10580</v>
      </c>
      <c r="F129" s="1362"/>
      <c r="H129" s="1360"/>
    </row>
    <row r="130" spans="1:8" s="1329" customFormat="1" ht="14.25" customHeight="1" thickBot="1">
      <c r="A130" s="1341" t="s">
        <v>210</v>
      </c>
      <c r="B130" s="1335" t="s">
        <v>1337</v>
      </c>
      <c r="C130" s="1335">
        <v>9680</v>
      </c>
      <c r="D130" s="1335">
        <v>9660</v>
      </c>
      <c r="E130" s="1335">
        <v>9950</v>
      </c>
      <c r="F130" s="1362"/>
      <c r="H130" s="1360"/>
    </row>
    <row r="131" spans="1:8" s="1329" customFormat="1" ht="14.25" customHeight="1" thickBot="1">
      <c r="A131" s="1341" t="s">
        <v>210</v>
      </c>
      <c r="B131" s="1335" t="s">
        <v>1345</v>
      </c>
      <c r="C131" s="1335">
        <v>9540</v>
      </c>
      <c r="D131" s="1335">
        <v>9510</v>
      </c>
      <c r="E131" s="1335">
        <v>9790</v>
      </c>
      <c r="F131" s="1362"/>
      <c r="H131" s="1360"/>
    </row>
    <row r="132" spans="1:8" s="1329" customFormat="1" ht="14.25" customHeight="1" thickBot="1">
      <c r="A132" s="1341" t="s">
        <v>210</v>
      </c>
      <c r="B132" s="1335" t="s">
        <v>1352</v>
      </c>
      <c r="C132" s="1335">
        <v>9320</v>
      </c>
      <c r="D132" s="1335">
        <v>9290</v>
      </c>
      <c r="E132" s="1335">
        <v>9570</v>
      </c>
      <c r="F132" s="1362"/>
      <c r="H132" s="1360"/>
    </row>
    <row r="133" spans="1:8" s="1329" customFormat="1" ht="14.25" customHeight="1" thickBot="1">
      <c r="A133" s="1341" t="s">
        <v>210</v>
      </c>
      <c r="B133" s="1335" t="s">
        <v>1359</v>
      </c>
      <c r="C133" s="1335">
        <v>10310</v>
      </c>
      <c r="D133" s="1335">
        <v>10280</v>
      </c>
      <c r="E133" s="1335">
        <v>10530</v>
      </c>
      <c r="F133" s="1362"/>
      <c r="H133" s="1360"/>
    </row>
    <row r="134" spans="1:8" s="1329" customFormat="1" ht="14.25" customHeight="1" thickBot="1">
      <c r="A134" s="1341" t="s">
        <v>210</v>
      </c>
      <c r="B134" s="1335" t="s">
        <v>1366</v>
      </c>
      <c r="C134" s="1335">
        <v>10370</v>
      </c>
      <c r="D134" s="1335">
        <v>10310</v>
      </c>
      <c r="E134" s="1335">
        <v>10240</v>
      </c>
      <c r="F134" s="1353">
        <v>2060</v>
      </c>
      <c r="H134" s="1360"/>
    </row>
    <row r="135" spans="1:8" s="1329" customFormat="1" ht="14.25" customHeight="1" thickBot="1">
      <c r="A135" s="1341" t="s">
        <v>210</v>
      </c>
      <c r="B135" s="1335" t="s">
        <v>1373</v>
      </c>
      <c r="C135" s="1335">
        <v>9300</v>
      </c>
      <c r="D135" s="1335">
        <v>9270</v>
      </c>
      <c r="E135" s="1335">
        <v>9350</v>
      </c>
      <c r="F135" s="1362"/>
      <c r="H135" s="1360"/>
    </row>
    <row r="136" spans="1:8" s="1329" customFormat="1" ht="14.25" customHeight="1" thickBot="1">
      <c r="A136" s="1341" t="s">
        <v>210</v>
      </c>
      <c r="B136" s="1335" t="s">
        <v>1380</v>
      </c>
      <c r="C136" s="1335">
        <v>10160</v>
      </c>
      <c r="D136" s="1335">
        <v>10110</v>
      </c>
      <c r="E136" s="1335">
        <v>10080</v>
      </c>
      <c r="F136" s="1362"/>
      <c r="H136" s="1360"/>
    </row>
    <row r="137" spans="1:8" s="1329" customFormat="1" ht="14.25" customHeight="1" thickBot="1">
      <c r="A137" s="1341" t="s">
        <v>210</v>
      </c>
      <c r="B137" s="1335" t="s">
        <v>1387</v>
      </c>
      <c r="C137" s="1335">
        <v>9200</v>
      </c>
      <c r="D137" s="1335">
        <v>9170</v>
      </c>
      <c r="E137" s="1335">
        <v>9450</v>
      </c>
      <c r="F137" s="1362"/>
      <c r="H137" s="1360"/>
    </row>
    <row r="138" spans="1:8" s="1329" customFormat="1" ht="14.25" customHeight="1" thickBot="1">
      <c r="A138" s="1341" t="s">
        <v>210</v>
      </c>
      <c r="B138" s="1335" t="s">
        <v>1392</v>
      </c>
      <c r="C138" s="1335">
        <v>9690</v>
      </c>
      <c r="D138" s="1335">
        <v>9660</v>
      </c>
      <c r="E138" s="1335">
        <v>9840</v>
      </c>
      <c r="F138" s="1362"/>
      <c r="H138" s="1360"/>
    </row>
    <row r="139" spans="1:8" s="1329" customFormat="1" ht="14.25" customHeight="1" thickBot="1">
      <c r="A139" s="1341" t="s">
        <v>210</v>
      </c>
      <c r="B139" s="1335" t="s">
        <v>1396</v>
      </c>
      <c r="C139" s="1335">
        <v>10290</v>
      </c>
      <c r="D139" s="1335">
        <v>10260</v>
      </c>
      <c r="E139" s="1335">
        <v>10550</v>
      </c>
      <c r="F139" s="1353">
        <v>1700</v>
      </c>
      <c r="H139" s="1360"/>
    </row>
    <row r="140" spans="1:8" s="1329" customFormat="1" ht="14.25" customHeight="1" thickBot="1">
      <c r="A140" s="1341" t="s">
        <v>210</v>
      </c>
      <c r="B140" s="1335" t="s">
        <v>1401</v>
      </c>
      <c r="C140" s="1335">
        <v>9740</v>
      </c>
      <c r="D140" s="1335">
        <v>9710</v>
      </c>
      <c r="E140" s="1335">
        <v>10000</v>
      </c>
      <c r="F140" s="1353">
        <v>2000</v>
      </c>
      <c r="H140" s="1360"/>
    </row>
    <row r="141" spans="1:8" s="1329" customFormat="1" ht="14.25" customHeight="1" thickBot="1">
      <c r="A141" s="1341" t="s">
        <v>210</v>
      </c>
      <c r="B141" s="1335" t="s">
        <v>1406</v>
      </c>
      <c r="C141" s="1335">
        <v>9810</v>
      </c>
      <c r="D141" s="1335">
        <v>9770</v>
      </c>
      <c r="E141" s="1335">
        <v>10060</v>
      </c>
      <c r="F141" s="1362"/>
      <c r="H141" s="1360"/>
    </row>
    <row r="142" spans="1:8" s="1329" customFormat="1" ht="14.25" customHeight="1" thickBot="1">
      <c r="A142" s="1341" t="s">
        <v>210</v>
      </c>
      <c r="B142" s="1335" t="s">
        <v>1411</v>
      </c>
      <c r="C142" s="1335">
        <v>9300</v>
      </c>
      <c r="D142" s="1335">
        <v>9270</v>
      </c>
      <c r="E142" s="1335">
        <v>9530</v>
      </c>
      <c r="F142" s="1362"/>
      <c r="H142" s="1360"/>
    </row>
    <row r="143" spans="1:8" s="1329" customFormat="1" ht="14.25" customHeight="1" thickBot="1">
      <c r="A143" s="1341" t="s">
        <v>210</v>
      </c>
      <c r="B143" s="1335" t="s">
        <v>1416</v>
      </c>
      <c r="C143" s="1335">
        <v>10080</v>
      </c>
      <c r="D143" s="1335">
        <v>10050</v>
      </c>
      <c r="E143" s="1335">
        <v>10340</v>
      </c>
      <c r="F143" s="1362"/>
      <c r="H143" s="1360"/>
    </row>
    <row r="144" spans="1:8" s="1329" customFormat="1" ht="14.25" customHeight="1" thickBot="1">
      <c r="A144" s="1341" t="s">
        <v>210</v>
      </c>
      <c r="B144" s="1335" t="s">
        <v>1420</v>
      </c>
      <c r="C144" s="1335">
        <v>9820</v>
      </c>
      <c r="D144" s="1335">
        <v>9750</v>
      </c>
      <c r="E144" s="1335">
        <v>9900</v>
      </c>
      <c r="F144" s="1362"/>
      <c r="H144" s="1360"/>
    </row>
    <row r="145" spans="1:8" s="1329" customFormat="1" ht="14.25" customHeight="1" thickBot="1">
      <c r="A145" s="1341" t="s">
        <v>210</v>
      </c>
      <c r="B145" s="1335" t="s">
        <v>1424</v>
      </c>
      <c r="C145" s="1335"/>
      <c r="D145" s="1335"/>
      <c r="E145" s="1335"/>
      <c r="F145" s="1353">
        <v>1740</v>
      </c>
      <c r="H145" s="1360"/>
    </row>
    <row r="146" spans="1:8" s="1329" customFormat="1" ht="14.25" customHeight="1" thickBot="1">
      <c r="A146" s="1341" t="s">
        <v>210</v>
      </c>
      <c r="B146" s="1335" t="s">
        <v>1428</v>
      </c>
      <c r="C146" s="1335"/>
      <c r="D146" s="1335"/>
      <c r="E146" s="1335"/>
      <c r="F146" s="1353">
        <v>1740</v>
      </c>
      <c r="H146" s="1360"/>
    </row>
    <row r="147" spans="1:8" s="1329" customFormat="1" ht="14.25" customHeight="1" thickBot="1">
      <c r="A147" s="1341" t="s">
        <v>210</v>
      </c>
      <c r="B147" s="1335" t="s">
        <v>1432</v>
      </c>
      <c r="C147" s="1335"/>
      <c r="D147" s="1335"/>
      <c r="E147" s="1335"/>
      <c r="F147" s="1353">
        <v>1740</v>
      </c>
      <c r="H147" s="1360"/>
    </row>
    <row r="148" spans="1:8" s="1329" customFormat="1" ht="14.25" customHeight="1" thickBot="1">
      <c r="A148" s="1341" t="s">
        <v>210</v>
      </c>
      <c r="B148" s="1335" t="s">
        <v>1436</v>
      </c>
      <c r="C148" s="1335"/>
      <c r="D148" s="1335"/>
      <c r="E148" s="1335"/>
      <c r="F148" s="1353">
        <v>1740</v>
      </c>
      <c r="H148" s="1360"/>
    </row>
    <row r="149" spans="1:8" s="1329" customFormat="1" ht="14.25" customHeight="1" thickBot="1">
      <c r="A149" s="1341" t="s">
        <v>210</v>
      </c>
      <c r="B149" s="1335" t="s">
        <v>1440</v>
      </c>
      <c r="C149" s="1335"/>
      <c r="D149" s="1335"/>
      <c r="E149" s="1335"/>
      <c r="F149" s="1353">
        <v>1740</v>
      </c>
      <c r="H149" s="1360"/>
    </row>
    <row r="150" spans="1:8" s="1329" customFormat="1" ht="14.25" customHeight="1" thickBot="1">
      <c r="A150" s="1341" t="s">
        <v>210</v>
      </c>
      <c r="B150" s="1335" t="s">
        <v>1443</v>
      </c>
      <c r="C150" s="1335"/>
      <c r="D150" s="1335"/>
      <c r="E150" s="1335"/>
      <c r="F150" s="1353">
        <v>1610</v>
      </c>
      <c r="H150" s="1360"/>
    </row>
    <row r="151" spans="1:8" s="1329" customFormat="1" ht="14.25" customHeight="1" thickBot="1">
      <c r="A151" s="1341" t="s">
        <v>210</v>
      </c>
      <c r="B151" s="1335" t="s">
        <v>1446</v>
      </c>
      <c r="C151" s="1335"/>
      <c r="D151" s="1335"/>
      <c r="E151" s="1335"/>
      <c r="F151" s="1353">
        <v>1610</v>
      </c>
      <c r="H151" s="1360"/>
    </row>
    <row r="152" spans="1:8" s="1329" customFormat="1" ht="14.25" customHeight="1" thickBot="1">
      <c r="A152" s="1341" t="s">
        <v>210</v>
      </c>
      <c r="B152" s="1335" t="s">
        <v>1449</v>
      </c>
      <c r="C152" s="1335"/>
      <c r="D152" s="1335"/>
      <c r="E152" s="1335"/>
      <c r="F152" s="1353">
        <v>1610</v>
      </c>
      <c r="H152" s="1360"/>
    </row>
    <row r="153" spans="1:8" s="1329" customFormat="1" ht="14.25" customHeight="1" thickBot="1">
      <c r="A153" s="1341" t="s">
        <v>210</v>
      </c>
      <c r="B153" s="1335" t="s">
        <v>1452</v>
      </c>
      <c r="C153" s="1335"/>
      <c r="D153" s="1335"/>
      <c r="E153" s="1335"/>
      <c r="F153" s="1353">
        <v>1610</v>
      </c>
      <c r="H153" s="1360"/>
    </row>
    <row r="154" spans="1:8" s="1329" customFormat="1" ht="14.25" customHeight="1" thickBot="1">
      <c r="A154" s="1341" t="s">
        <v>210</v>
      </c>
      <c r="B154" s="1335" t="s">
        <v>1455</v>
      </c>
      <c r="C154" s="1335"/>
      <c r="D154" s="1335"/>
      <c r="E154" s="1335"/>
      <c r="F154" s="1353">
        <v>1610</v>
      </c>
      <c r="H154" s="1360"/>
    </row>
    <row r="155" spans="1:8" s="1329" customFormat="1" ht="14.25" customHeight="1" thickBot="1">
      <c r="A155" s="1341" t="s">
        <v>210</v>
      </c>
      <c r="B155" s="1335" t="s">
        <v>1458</v>
      </c>
      <c r="C155" s="1335"/>
      <c r="D155" s="1335"/>
      <c r="E155" s="1335"/>
      <c r="F155" s="1353">
        <v>1800</v>
      </c>
      <c r="H155" s="1360"/>
    </row>
    <row r="156" spans="1:8" s="1329" customFormat="1" ht="14.25" customHeight="1" thickBot="1">
      <c r="A156" s="1341" t="s">
        <v>210</v>
      </c>
      <c r="B156" s="1335" t="s">
        <v>1460</v>
      </c>
      <c r="C156" s="1335"/>
      <c r="D156" s="1335"/>
      <c r="E156" s="1335"/>
      <c r="F156" s="1353">
        <v>1910</v>
      </c>
      <c r="H156" s="1360"/>
    </row>
    <row r="157" spans="1:8" s="1329" customFormat="1" ht="14.25" customHeight="1" thickBot="1">
      <c r="A157" s="1341" t="s">
        <v>210</v>
      </c>
      <c r="B157" s="1351" t="s">
        <v>1463</v>
      </c>
      <c r="C157" s="1351"/>
      <c r="D157" s="1351"/>
      <c r="E157" s="1351"/>
      <c r="F157" s="1361">
        <v>1500</v>
      </c>
      <c r="H157" s="1360"/>
    </row>
    <row r="158" spans="1:8" s="1329" customFormat="1" ht="14.25" customHeight="1" thickBot="1">
      <c r="A158" s="1341" t="s">
        <v>1468</v>
      </c>
      <c r="B158" s="1342" t="s">
        <v>1469</v>
      </c>
      <c r="C158" s="1342">
        <v>8170</v>
      </c>
      <c r="D158" s="1342">
        <v>8140</v>
      </c>
      <c r="E158" s="1342">
        <v>8590</v>
      </c>
      <c r="F158" s="1343">
        <v>1450</v>
      </c>
      <c r="H158" s="1360"/>
    </row>
    <row r="159" spans="1:8" s="1329" customFormat="1" ht="14.25" customHeight="1" thickBot="1">
      <c r="A159" s="1341" t="s">
        <v>1468</v>
      </c>
      <c r="B159" s="1335" t="s">
        <v>1127</v>
      </c>
      <c r="C159" s="1335">
        <v>7410</v>
      </c>
      <c r="D159" s="1335">
        <v>7370</v>
      </c>
      <c r="E159" s="1335">
        <v>8030</v>
      </c>
      <c r="F159" s="1353">
        <v>1510</v>
      </c>
      <c r="H159" s="1360"/>
    </row>
    <row r="160" spans="1:8" s="1329" customFormat="1" ht="14.25" customHeight="1" thickBot="1">
      <c r="A160" s="1341" t="s">
        <v>1468</v>
      </c>
      <c r="B160" s="1335" t="s">
        <v>1140</v>
      </c>
      <c r="C160" s="1335">
        <v>7240</v>
      </c>
      <c r="D160" s="1335">
        <v>7210</v>
      </c>
      <c r="E160" s="1335">
        <v>7860</v>
      </c>
      <c r="F160" s="1353">
        <v>1370</v>
      </c>
      <c r="H160" s="1360"/>
    </row>
    <row r="161" spans="1:8" s="1329" customFormat="1" ht="14.25" customHeight="1" thickBot="1">
      <c r="A161" s="1341" t="s">
        <v>1468</v>
      </c>
      <c r="B161" s="1335" t="s">
        <v>1153</v>
      </c>
      <c r="C161" s="1335">
        <v>7720</v>
      </c>
      <c r="D161" s="1335">
        <v>7690</v>
      </c>
      <c r="E161" s="1335">
        <v>8200</v>
      </c>
      <c r="F161" s="1353">
        <v>1190</v>
      </c>
      <c r="H161" s="1360"/>
    </row>
    <row r="162" spans="1:8" s="1329" customFormat="1" ht="14.25" customHeight="1" thickBot="1">
      <c r="A162" s="1341" t="s">
        <v>1468</v>
      </c>
      <c r="B162" s="1335" t="s">
        <v>1165</v>
      </c>
      <c r="C162" s="1335">
        <v>6900</v>
      </c>
      <c r="D162" s="1335">
        <v>6870</v>
      </c>
      <c r="E162" s="1335">
        <v>7500</v>
      </c>
      <c r="F162" s="1353">
        <v>1390</v>
      </c>
      <c r="H162" s="1360"/>
    </row>
    <row r="163" spans="1:8" s="1329" customFormat="1" ht="14.25" customHeight="1" thickBot="1">
      <c r="A163" s="1341" t="s">
        <v>1468</v>
      </c>
      <c r="B163" s="1335" t="s">
        <v>1177</v>
      </c>
      <c r="C163" s="1335">
        <v>7120</v>
      </c>
      <c r="D163" s="1335">
        <v>7090</v>
      </c>
      <c r="E163" s="1335">
        <v>7690</v>
      </c>
      <c r="F163" s="1353">
        <v>1230</v>
      </c>
      <c r="H163" s="1360"/>
    </row>
    <row r="164" spans="1:8" s="1329" customFormat="1" ht="14.25" customHeight="1" thickBot="1">
      <c r="A164" s="1341" t="s">
        <v>1468</v>
      </c>
      <c r="B164" s="1335" t="s">
        <v>1189</v>
      </c>
      <c r="C164" s="1335">
        <v>6560</v>
      </c>
      <c r="D164" s="1335">
        <v>6530</v>
      </c>
      <c r="E164" s="1335">
        <v>7110</v>
      </c>
      <c r="F164" s="1353">
        <v>1340</v>
      </c>
      <c r="H164" s="1360"/>
    </row>
    <row r="165" spans="1:8" s="1329" customFormat="1" ht="14.25" customHeight="1" thickBot="1">
      <c r="A165" s="1341" t="s">
        <v>1468</v>
      </c>
      <c r="B165" s="1335" t="s">
        <v>1201</v>
      </c>
      <c r="C165" s="1335">
        <v>7450</v>
      </c>
      <c r="D165" s="1335">
        <v>7430</v>
      </c>
      <c r="E165" s="1335">
        <v>8110</v>
      </c>
      <c r="F165" s="1353">
        <v>1290</v>
      </c>
      <c r="H165" s="1360"/>
    </row>
    <row r="166" spans="1:8" s="1329" customFormat="1" ht="14.25" customHeight="1" thickBot="1">
      <c r="A166" s="1341" t="s">
        <v>1468</v>
      </c>
      <c r="B166" s="1335" t="s">
        <v>1214</v>
      </c>
      <c r="C166" s="1335">
        <v>7490</v>
      </c>
      <c r="D166" s="1335">
        <v>7460</v>
      </c>
      <c r="E166" s="1335">
        <v>8150</v>
      </c>
      <c r="F166" s="1353">
        <v>1350</v>
      </c>
      <c r="H166" s="1360"/>
    </row>
    <row r="167" spans="1:8" s="1329" customFormat="1" ht="14.25" customHeight="1" thickBot="1">
      <c r="A167" s="1341" t="s">
        <v>1468</v>
      </c>
      <c r="B167" s="1335" t="s">
        <v>1225</v>
      </c>
      <c r="C167" s="1335">
        <v>7540</v>
      </c>
      <c r="D167" s="1335">
        <v>7510</v>
      </c>
      <c r="E167" s="1335">
        <v>8030</v>
      </c>
      <c r="F167" s="1362"/>
      <c r="H167" s="1360"/>
    </row>
    <row r="168" spans="1:8" s="1329" customFormat="1" ht="14.25" customHeight="1" thickBot="1">
      <c r="A168" s="1341" t="s">
        <v>1468</v>
      </c>
      <c r="B168" s="1335" t="s">
        <v>1236</v>
      </c>
      <c r="C168" s="1335">
        <v>7210</v>
      </c>
      <c r="D168" s="1335">
        <v>7180</v>
      </c>
      <c r="E168" s="1335">
        <v>7830</v>
      </c>
      <c r="F168" s="1362"/>
      <c r="H168" s="1360"/>
    </row>
    <row r="169" spans="1:8" s="1329" customFormat="1" ht="14.25" customHeight="1" thickBot="1">
      <c r="A169" s="1341" t="s">
        <v>1468</v>
      </c>
      <c r="B169" s="1335" t="s">
        <v>1247</v>
      </c>
      <c r="C169" s="1335">
        <v>7040</v>
      </c>
      <c r="D169" s="1335">
        <v>7020</v>
      </c>
      <c r="E169" s="1335">
        <v>7670</v>
      </c>
      <c r="F169" s="1362"/>
      <c r="H169" s="1360"/>
    </row>
    <row r="170" spans="1:8" s="1329" customFormat="1" ht="14.25" customHeight="1" thickBot="1">
      <c r="A170" s="1341" t="s">
        <v>1468</v>
      </c>
      <c r="B170" s="1335" t="s">
        <v>1258</v>
      </c>
      <c r="C170" s="1335">
        <v>8040</v>
      </c>
      <c r="D170" s="1335">
        <v>7190</v>
      </c>
      <c r="E170" s="1335">
        <v>7850</v>
      </c>
      <c r="F170" s="1362"/>
      <c r="H170" s="1360"/>
    </row>
    <row r="171" spans="1:8" s="1329" customFormat="1" ht="14.25" customHeight="1" thickBot="1">
      <c r="A171" s="1341" t="s">
        <v>1468</v>
      </c>
      <c r="B171" s="1335" t="s">
        <v>1269</v>
      </c>
      <c r="C171" s="1335">
        <v>7860</v>
      </c>
      <c r="D171" s="1335">
        <v>7720</v>
      </c>
      <c r="E171" s="1335">
        <v>8150</v>
      </c>
      <c r="F171" s="1353">
        <v>1110</v>
      </c>
      <c r="H171" s="1360"/>
    </row>
    <row r="172" spans="1:8" s="1329" customFormat="1" ht="14.25" customHeight="1" thickBot="1">
      <c r="A172" s="1341" t="s">
        <v>1468</v>
      </c>
      <c r="B172" s="1335" t="s">
        <v>1280</v>
      </c>
      <c r="C172" s="1335">
        <v>7210</v>
      </c>
      <c r="D172" s="1335">
        <v>7170</v>
      </c>
      <c r="E172" s="1335">
        <v>7320</v>
      </c>
      <c r="F172" s="1362"/>
      <c r="H172" s="1360"/>
    </row>
    <row r="173" spans="1:8" s="1329" customFormat="1" ht="14.25" customHeight="1" thickBot="1">
      <c r="A173" s="1341" t="s">
        <v>1468</v>
      </c>
      <c r="B173" s="1335" t="s">
        <v>1290</v>
      </c>
      <c r="C173" s="1335">
        <v>6860</v>
      </c>
      <c r="D173" s="1335">
        <v>6810</v>
      </c>
      <c r="E173" s="1335">
        <v>7440</v>
      </c>
      <c r="F173" s="1362"/>
      <c r="H173" s="1360"/>
    </row>
    <row r="174" spans="1:8" s="1329" customFormat="1" ht="14.25" customHeight="1" thickBot="1">
      <c r="A174" s="1341" t="s">
        <v>1468</v>
      </c>
      <c r="B174" s="1335" t="s">
        <v>1300</v>
      </c>
      <c r="C174" s="1335">
        <v>7120</v>
      </c>
      <c r="D174" s="1335">
        <v>7090</v>
      </c>
      <c r="E174" s="1335">
        <v>7500</v>
      </c>
      <c r="F174" s="1353">
        <v>1490</v>
      </c>
      <c r="H174" s="1360"/>
    </row>
    <row r="175" spans="1:8" s="1329" customFormat="1" ht="14.25" customHeight="1" thickBot="1">
      <c r="A175" s="1341" t="s">
        <v>1468</v>
      </c>
      <c r="B175" s="1335" t="s">
        <v>1310</v>
      </c>
      <c r="C175" s="1335">
        <v>7850</v>
      </c>
      <c r="D175" s="1335">
        <v>7820</v>
      </c>
      <c r="E175" s="1335">
        <v>8120</v>
      </c>
      <c r="F175" s="1353">
        <v>1530</v>
      </c>
      <c r="H175" s="1360"/>
    </row>
    <row r="176" spans="1:8" s="1329" customFormat="1" ht="14.25" customHeight="1" thickBot="1">
      <c r="A176" s="1341" t="s">
        <v>1468</v>
      </c>
      <c r="B176" s="1335" t="s">
        <v>1320</v>
      </c>
      <c r="C176" s="1335">
        <v>7620</v>
      </c>
      <c r="D176" s="1335">
        <v>7570</v>
      </c>
      <c r="E176" s="1335">
        <v>7990</v>
      </c>
      <c r="F176" s="1353">
        <v>1480</v>
      </c>
      <c r="H176" s="1360"/>
    </row>
    <row r="177" spans="1:8" s="1329" customFormat="1" ht="14.25" customHeight="1" thickBot="1">
      <c r="A177" s="1341" t="s">
        <v>1468</v>
      </c>
      <c r="B177" s="1335" t="s">
        <v>1329</v>
      </c>
      <c r="C177" s="1335">
        <v>8590</v>
      </c>
      <c r="D177" s="1335">
        <v>8570</v>
      </c>
      <c r="E177" s="1335">
        <v>8740</v>
      </c>
      <c r="F177" s="1353">
        <v>1540</v>
      </c>
      <c r="H177" s="1360"/>
    </row>
    <row r="178" spans="1:8" s="1329" customFormat="1" ht="14.25" customHeight="1" thickBot="1">
      <c r="A178" s="1341" t="s">
        <v>1468</v>
      </c>
      <c r="B178" s="1335" t="s">
        <v>1338</v>
      </c>
      <c r="C178" s="1335">
        <v>7510</v>
      </c>
      <c r="D178" s="1335">
        <v>7470</v>
      </c>
      <c r="E178" s="1335">
        <v>8090</v>
      </c>
      <c r="F178" s="1353">
        <v>1320</v>
      </c>
      <c r="H178" s="1360"/>
    </row>
    <row r="179" spans="1:8" s="1329" customFormat="1" ht="14.25" customHeight="1" thickBot="1">
      <c r="A179" s="1341" t="s">
        <v>1468</v>
      </c>
      <c r="B179" s="1335" t="s">
        <v>1346</v>
      </c>
      <c r="C179" s="1335">
        <v>6380</v>
      </c>
      <c r="D179" s="1335">
        <v>6340</v>
      </c>
      <c r="E179" s="1335">
        <v>6810</v>
      </c>
      <c r="F179" s="1362"/>
      <c r="H179" s="1360"/>
    </row>
    <row r="180" spans="1:8" s="1329" customFormat="1" ht="14.25" customHeight="1" thickBot="1">
      <c r="A180" s="1341" t="s">
        <v>1468</v>
      </c>
      <c r="B180" s="1335" t="s">
        <v>1353</v>
      </c>
      <c r="C180" s="1335">
        <v>7830</v>
      </c>
      <c r="D180" s="1335">
        <v>7800</v>
      </c>
      <c r="E180" s="1335">
        <v>7780</v>
      </c>
      <c r="F180" s="1353">
        <v>1440</v>
      </c>
      <c r="H180" s="1360"/>
    </row>
    <row r="181" spans="1:8" s="1329" customFormat="1" ht="14.25" customHeight="1" thickBot="1">
      <c r="A181" s="1341" t="s">
        <v>1468</v>
      </c>
      <c r="B181" s="1335" t="s">
        <v>1360</v>
      </c>
      <c r="C181" s="1335">
        <v>7110</v>
      </c>
      <c r="D181" s="1335">
        <v>7080</v>
      </c>
      <c r="E181" s="1335">
        <v>7730</v>
      </c>
      <c r="F181" s="1353">
        <v>1350</v>
      </c>
      <c r="H181" s="1360"/>
    </row>
    <row r="182" spans="1:8" s="1329" customFormat="1" ht="14.25" customHeight="1" thickBot="1">
      <c r="A182" s="1341" t="s">
        <v>1468</v>
      </c>
      <c r="B182" s="1335" t="s">
        <v>1367</v>
      </c>
      <c r="C182" s="1335">
        <v>7310</v>
      </c>
      <c r="D182" s="1335">
        <v>7280</v>
      </c>
      <c r="E182" s="1335">
        <v>7950</v>
      </c>
      <c r="F182" s="1353">
        <v>1220</v>
      </c>
      <c r="H182" s="1360"/>
    </row>
    <row r="183" spans="1:8" s="1329" customFormat="1" ht="14.25" customHeight="1" thickBot="1">
      <c r="A183" s="1341" t="s">
        <v>1468</v>
      </c>
      <c r="B183" s="1335" t="s">
        <v>1374</v>
      </c>
      <c r="C183" s="1335">
        <v>7470</v>
      </c>
      <c r="D183" s="1335">
        <v>7440</v>
      </c>
      <c r="E183" s="1335">
        <v>7880</v>
      </c>
      <c r="F183" s="1362"/>
      <c r="H183" s="1360"/>
    </row>
    <row r="184" spans="1:8" s="1329" customFormat="1" ht="14.25" customHeight="1" thickBot="1">
      <c r="A184" s="1341" t="s">
        <v>1468</v>
      </c>
      <c r="B184" s="1335" t="s">
        <v>1381</v>
      </c>
      <c r="C184" s="1335">
        <v>6960</v>
      </c>
      <c r="D184" s="1335">
        <v>6930</v>
      </c>
      <c r="E184" s="1335">
        <v>7570</v>
      </c>
      <c r="F184" s="1362"/>
      <c r="H184" s="1360"/>
    </row>
    <row r="185" spans="1:8" s="1329" customFormat="1" ht="14.25" customHeight="1" thickBot="1">
      <c r="A185" s="1341" t="s">
        <v>1468</v>
      </c>
      <c r="B185" s="1335" t="s">
        <v>1388</v>
      </c>
      <c r="C185" s="1335">
        <v>7260</v>
      </c>
      <c r="D185" s="1335">
        <v>7230</v>
      </c>
      <c r="E185" s="1335">
        <v>7710</v>
      </c>
      <c r="F185" s="1353">
        <v>1360</v>
      </c>
      <c r="H185" s="1360"/>
    </row>
    <row r="186" spans="1:8" s="1329" customFormat="1" ht="14.25" customHeight="1" thickBot="1">
      <c r="A186" s="1341" t="s">
        <v>1468</v>
      </c>
      <c r="B186" s="1335" t="s">
        <v>1393</v>
      </c>
      <c r="C186" s="1335"/>
      <c r="D186" s="1335"/>
      <c r="E186" s="1335"/>
      <c r="F186" s="1353">
        <v>1560</v>
      </c>
      <c r="H186" s="1360"/>
    </row>
    <row r="187" spans="1:8" s="1329" customFormat="1" ht="14.25" customHeight="1" thickBot="1">
      <c r="A187" s="1341" t="s">
        <v>1468</v>
      </c>
      <c r="B187" s="1335" t="s">
        <v>1397</v>
      </c>
      <c r="C187" s="1335"/>
      <c r="D187" s="1335"/>
      <c r="E187" s="1335"/>
      <c r="F187" s="1353">
        <v>1560</v>
      </c>
      <c r="H187" s="1360"/>
    </row>
    <row r="188" spans="1:8" s="1329" customFormat="1" ht="14.25" customHeight="1" thickBot="1">
      <c r="A188" s="1341" t="s">
        <v>1468</v>
      </c>
      <c r="B188" s="1335" t="s">
        <v>1402</v>
      </c>
      <c r="C188" s="1335"/>
      <c r="D188" s="1335"/>
      <c r="E188" s="1335"/>
      <c r="F188" s="1353">
        <v>1560</v>
      </c>
      <c r="H188" s="1360"/>
    </row>
    <row r="189" spans="1:8" s="1329" customFormat="1" ht="14.25" customHeight="1" thickBot="1">
      <c r="A189" s="1341" t="s">
        <v>1468</v>
      </c>
      <c r="B189" s="1335" t="s">
        <v>1407</v>
      </c>
      <c r="C189" s="1335"/>
      <c r="D189" s="1335"/>
      <c r="E189" s="1335"/>
      <c r="F189" s="1353">
        <v>1320</v>
      </c>
      <c r="H189" s="1360"/>
    </row>
    <row r="190" spans="1:8" s="1329" customFormat="1" ht="14.25" customHeight="1" thickBot="1">
      <c r="A190" s="1341" t="s">
        <v>1468</v>
      </c>
      <c r="B190" s="1335" t="s">
        <v>1412</v>
      </c>
      <c r="C190" s="1335"/>
      <c r="D190" s="1335"/>
      <c r="E190" s="1335"/>
      <c r="F190" s="1353">
        <v>1320</v>
      </c>
      <c r="H190" s="1360"/>
    </row>
    <row r="191" spans="1:8" s="1329" customFormat="1" ht="14.25" customHeight="1" thickBot="1">
      <c r="A191" s="1341" t="s">
        <v>1468</v>
      </c>
      <c r="B191" s="1335" t="s">
        <v>1417</v>
      </c>
      <c r="C191" s="1335"/>
      <c r="D191" s="1335"/>
      <c r="E191" s="1335"/>
      <c r="F191" s="1353">
        <v>1320</v>
      </c>
      <c r="H191" s="1360"/>
    </row>
    <row r="192" spans="1:8" s="1329" customFormat="1" ht="14.25" customHeight="1" thickBot="1">
      <c r="A192" s="1341" t="s">
        <v>1468</v>
      </c>
      <c r="B192" s="1335" t="s">
        <v>1421</v>
      </c>
      <c r="C192" s="1335"/>
      <c r="D192" s="1335"/>
      <c r="E192" s="1335"/>
      <c r="F192" s="1353">
        <v>1100</v>
      </c>
      <c r="H192" s="1360"/>
    </row>
    <row r="193" spans="1:8" s="1329" customFormat="1" ht="14.25" customHeight="1" thickBot="1">
      <c r="A193" s="1341" t="s">
        <v>1468</v>
      </c>
      <c r="B193" s="1335" t="s">
        <v>1425</v>
      </c>
      <c r="C193" s="1335"/>
      <c r="D193" s="1335"/>
      <c r="E193" s="1335"/>
      <c r="F193" s="1353">
        <v>1100</v>
      </c>
      <c r="H193" s="1360"/>
    </row>
    <row r="194" spans="1:8" s="1329" customFormat="1" ht="14.25" customHeight="1" thickBot="1">
      <c r="A194" s="1341" t="s">
        <v>1468</v>
      </c>
      <c r="B194" s="1335" t="s">
        <v>1429</v>
      </c>
      <c r="C194" s="1335"/>
      <c r="D194" s="1335"/>
      <c r="E194" s="1335"/>
      <c r="F194" s="1353">
        <v>1080</v>
      </c>
      <c r="H194" s="1360"/>
    </row>
    <row r="195" spans="1:8" s="1329" customFormat="1" ht="14.25" customHeight="1" thickBot="1">
      <c r="A195" s="1341" t="s">
        <v>1468</v>
      </c>
      <c r="B195" s="1335" t="s">
        <v>1433</v>
      </c>
      <c r="C195" s="1335"/>
      <c r="D195" s="1335"/>
      <c r="E195" s="1335"/>
      <c r="F195" s="1353">
        <v>1270</v>
      </c>
      <c r="H195" s="1360"/>
    </row>
    <row r="196" spans="1:8" s="1329" customFormat="1" ht="14.25" customHeight="1" thickBot="1">
      <c r="A196" s="1341" t="s">
        <v>1468</v>
      </c>
      <c r="B196" s="1335" t="s">
        <v>1437</v>
      </c>
      <c r="C196" s="1335"/>
      <c r="D196" s="1335"/>
      <c r="E196" s="1335"/>
      <c r="F196" s="1353">
        <v>1150</v>
      </c>
      <c r="H196" s="1360"/>
    </row>
    <row r="197" spans="1:8" s="1329" customFormat="1" ht="14.25" customHeight="1" thickBot="1">
      <c r="A197" s="1341" t="s">
        <v>1468</v>
      </c>
      <c r="B197" s="1335" t="s">
        <v>1441</v>
      </c>
      <c r="C197" s="1335"/>
      <c r="D197" s="1335"/>
      <c r="E197" s="1335"/>
      <c r="F197" s="1353">
        <v>1330</v>
      </c>
      <c r="H197" s="1360"/>
    </row>
    <row r="198" spans="1:8" s="1329" customFormat="1" ht="14.25" customHeight="1" thickBot="1">
      <c r="A198" s="1341" t="s">
        <v>1468</v>
      </c>
      <c r="B198" s="1335" t="s">
        <v>1444</v>
      </c>
      <c r="C198" s="1335"/>
      <c r="D198" s="1335"/>
      <c r="E198" s="1335"/>
      <c r="F198" s="1353">
        <v>1170</v>
      </c>
      <c r="H198" s="1360"/>
    </row>
    <row r="199" spans="1:8" s="1329" customFormat="1" ht="14.25" customHeight="1" thickBot="1">
      <c r="A199" s="1341" t="s">
        <v>1468</v>
      </c>
      <c r="B199" s="1335" t="s">
        <v>1447</v>
      </c>
      <c r="C199" s="1335"/>
      <c r="D199" s="1335"/>
      <c r="E199" s="1335"/>
      <c r="F199" s="1353">
        <v>1120</v>
      </c>
      <c r="H199" s="1360"/>
    </row>
    <row r="200" spans="1:8" s="1329" customFormat="1" ht="14.25" customHeight="1" thickBot="1">
      <c r="A200" s="1341" t="s">
        <v>1468</v>
      </c>
      <c r="B200" s="1335" t="s">
        <v>1450</v>
      </c>
      <c r="C200" s="1335"/>
      <c r="D200" s="1335"/>
      <c r="E200" s="1335"/>
      <c r="F200" s="1353">
        <v>1120</v>
      </c>
      <c r="H200" s="1360"/>
    </row>
    <row r="201" spans="1:8" s="1329" customFormat="1" ht="14.25" customHeight="1" thickBot="1">
      <c r="A201" s="1341" t="s">
        <v>1468</v>
      </c>
      <c r="B201" s="1335" t="s">
        <v>1453</v>
      </c>
      <c r="C201" s="1335"/>
      <c r="D201" s="1335"/>
      <c r="E201" s="1335"/>
      <c r="F201" s="1353">
        <v>1540</v>
      </c>
      <c r="H201" s="1360"/>
    </row>
    <row r="202" spans="1:8" s="1329" customFormat="1" ht="14.25" customHeight="1" thickBot="1">
      <c r="A202" s="1341" t="s">
        <v>1468</v>
      </c>
      <c r="B202" s="1335" t="s">
        <v>1456</v>
      </c>
      <c r="C202" s="1335"/>
      <c r="D202" s="1335"/>
      <c r="E202" s="1335"/>
      <c r="F202" s="1353">
        <v>1310</v>
      </c>
      <c r="H202" s="1360"/>
    </row>
    <row r="203" spans="1:8" s="1329" customFormat="1" ht="14.25" customHeight="1" thickBot="1">
      <c r="A203" s="1341" t="s">
        <v>1468</v>
      </c>
      <c r="B203" s="1335" t="s">
        <v>1459</v>
      </c>
      <c r="C203" s="1335"/>
      <c r="D203" s="1335"/>
      <c r="E203" s="1335"/>
      <c r="F203" s="1353">
        <v>1310</v>
      </c>
      <c r="H203" s="1360"/>
    </row>
    <row r="204" spans="1:8" s="1329" customFormat="1" ht="14.25" customHeight="1" thickBot="1">
      <c r="A204" s="1341" t="s">
        <v>1468</v>
      </c>
      <c r="B204" s="1335" t="s">
        <v>1461</v>
      </c>
      <c r="C204" s="1335"/>
      <c r="D204" s="1335"/>
      <c r="E204" s="1335"/>
      <c r="F204" s="1353">
        <v>1080</v>
      </c>
      <c r="H204" s="1360"/>
    </row>
    <row r="205" spans="1:8" s="1329" customFormat="1" ht="14.25" customHeight="1" thickBot="1">
      <c r="A205" s="1341" t="s">
        <v>1468</v>
      </c>
      <c r="B205" s="1335" t="s">
        <v>1464</v>
      </c>
      <c r="C205" s="1335"/>
      <c r="D205" s="1335"/>
      <c r="E205" s="1335"/>
      <c r="F205" s="1353">
        <v>1080</v>
      </c>
      <c r="H205" s="1360"/>
    </row>
    <row r="206" spans="1:8" s="1329" customFormat="1" ht="14.25" customHeight="1" thickBot="1">
      <c r="A206" s="1341" t="s">
        <v>1470</v>
      </c>
      <c r="B206" s="1342" t="s">
        <v>1471</v>
      </c>
      <c r="C206" s="1342">
        <v>5450</v>
      </c>
      <c r="D206" s="1342">
        <v>5430</v>
      </c>
      <c r="E206" s="1342">
        <v>5700</v>
      </c>
      <c r="F206" s="1343">
        <v>1020</v>
      </c>
      <c r="H206" s="1360"/>
    </row>
    <row r="207" spans="1:8" s="1329" customFormat="1" ht="14.25" customHeight="1" thickBot="1">
      <c r="A207" s="1341" t="s">
        <v>1470</v>
      </c>
      <c r="B207" s="1335" t="s">
        <v>1128</v>
      </c>
      <c r="C207" s="1335">
        <v>5860</v>
      </c>
      <c r="D207" s="1335">
        <v>5820</v>
      </c>
      <c r="E207" s="1335">
        <v>6050</v>
      </c>
      <c r="F207" s="1353">
        <v>1080</v>
      </c>
      <c r="H207" s="1360"/>
    </row>
    <row r="208" spans="1:8" s="1329" customFormat="1" ht="14.25" customHeight="1" thickBot="1">
      <c r="A208" s="1341" t="s">
        <v>1470</v>
      </c>
      <c r="B208" s="1335" t="s">
        <v>1141</v>
      </c>
      <c r="C208" s="1335">
        <v>4630</v>
      </c>
      <c r="D208" s="1335">
        <v>4600</v>
      </c>
      <c r="E208" s="1335">
        <v>4840</v>
      </c>
      <c r="F208" s="1353">
        <v>900</v>
      </c>
      <c r="H208" s="1360"/>
    </row>
    <row r="209" spans="1:8" s="1329" customFormat="1" ht="14.25" customHeight="1" thickBot="1">
      <c r="A209" s="1341" t="s">
        <v>1470</v>
      </c>
      <c r="B209" s="1335" t="s">
        <v>1154</v>
      </c>
      <c r="C209" s="1335">
        <v>5320</v>
      </c>
      <c r="D209" s="1335">
        <v>5270</v>
      </c>
      <c r="E209" s="1335">
        <v>5540</v>
      </c>
      <c r="F209" s="1353">
        <v>980</v>
      </c>
      <c r="H209" s="1360"/>
    </row>
    <row r="210" spans="1:8" s="1329" customFormat="1" ht="14.25" customHeight="1" thickBot="1">
      <c r="A210" s="1341" t="s">
        <v>1470</v>
      </c>
      <c r="B210" s="1335" t="s">
        <v>1166</v>
      </c>
      <c r="C210" s="1335">
        <v>5760</v>
      </c>
      <c r="D210" s="1335">
        <v>5710</v>
      </c>
      <c r="E210" s="1335">
        <v>6010</v>
      </c>
      <c r="F210" s="1353">
        <v>870</v>
      </c>
      <c r="H210" s="1360"/>
    </row>
    <row r="211" spans="1:8" s="1329" customFormat="1" ht="14.25" customHeight="1" thickBot="1">
      <c r="A211" s="1341" t="s">
        <v>1470</v>
      </c>
      <c r="B211" s="1335" t="s">
        <v>1178</v>
      </c>
      <c r="C211" s="1335">
        <v>4160</v>
      </c>
      <c r="D211" s="1335">
        <v>4100</v>
      </c>
      <c r="E211" s="1335">
        <v>4270</v>
      </c>
      <c r="F211" s="1353">
        <v>790</v>
      </c>
      <c r="H211" s="1360"/>
    </row>
    <row r="212" spans="1:8" s="1329" customFormat="1" ht="14.25" customHeight="1" thickBot="1">
      <c r="A212" s="1341" t="s">
        <v>1470</v>
      </c>
      <c r="B212" s="1335" t="s">
        <v>1190</v>
      </c>
      <c r="C212" s="1335">
        <v>4880</v>
      </c>
      <c r="D212" s="1335">
        <v>4850</v>
      </c>
      <c r="E212" s="1335">
        <v>5110</v>
      </c>
      <c r="F212" s="1353">
        <v>940</v>
      </c>
      <c r="H212" s="1360"/>
    </row>
    <row r="213" spans="1:8" s="1329" customFormat="1" ht="14.25" customHeight="1" thickBot="1">
      <c r="A213" s="1341" t="s">
        <v>1470</v>
      </c>
      <c r="B213" s="1335" t="s">
        <v>1202</v>
      </c>
      <c r="C213" s="1335">
        <v>4640</v>
      </c>
      <c r="D213" s="1335">
        <v>4590</v>
      </c>
      <c r="E213" s="1335">
        <v>4700</v>
      </c>
      <c r="F213" s="1353">
        <v>1030</v>
      </c>
      <c r="H213" s="1360"/>
    </row>
    <row r="214" spans="1:8" s="1329" customFormat="1" ht="14.25" customHeight="1" thickBot="1">
      <c r="A214" s="1341" t="s">
        <v>1470</v>
      </c>
      <c r="B214" s="1335" t="s">
        <v>1215</v>
      </c>
      <c r="C214" s="1335">
        <v>4540</v>
      </c>
      <c r="D214" s="1335">
        <v>4490</v>
      </c>
      <c r="E214" s="1335">
        <v>4610</v>
      </c>
      <c r="F214" s="1362"/>
      <c r="H214" s="1360"/>
    </row>
    <row r="215" spans="1:8" s="1329" customFormat="1" ht="14.25" customHeight="1" thickBot="1">
      <c r="A215" s="1341" t="s">
        <v>1470</v>
      </c>
      <c r="B215" s="1335" t="s">
        <v>1226</v>
      </c>
      <c r="C215" s="1335">
        <v>5280</v>
      </c>
      <c r="D215" s="1335">
        <v>5250</v>
      </c>
      <c r="E215" s="1335">
        <v>5520</v>
      </c>
      <c r="F215" s="1353">
        <v>1000</v>
      </c>
      <c r="H215" s="1360"/>
    </row>
    <row r="216" spans="1:8" s="1329" customFormat="1" ht="14.25" customHeight="1" thickBot="1">
      <c r="A216" s="1341" t="s">
        <v>1470</v>
      </c>
      <c r="B216" s="1335" t="s">
        <v>1237</v>
      </c>
      <c r="C216" s="1335">
        <v>5100</v>
      </c>
      <c r="D216" s="1335">
        <v>5050</v>
      </c>
      <c r="E216" s="1335">
        <v>5300</v>
      </c>
      <c r="F216" s="1353">
        <v>950</v>
      </c>
      <c r="H216" s="1360"/>
    </row>
    <row r="217" spans="1:8" s="1329" customFormat="1" ht="14.25" customHeight="1" thickBot="1">
      <c r="A217" s="1341" t="s">
        <v>1470</v>
      </c>
      <c r="B217" s="1335" t="s">
        <v>1248</v>
      </c>
      <c r="C217" s="1335">
        <v>5370</v>
      </c>
      <c r="D217" s="1335">
        <v>5320</v>
      </c>
      <c r="E217" s="1335">
        <v>5410</v>
      </c>
      <c r="F217" s="1353">
        <v>950</v>
      </c>
      <c r="H217" s="1360"/>
    </row>
    <row r="218" spans="1:8" s="1329" customFormat="1" ht="14.25" customHeight="1" thickBot="1">
      <c r="A218" s="1341" t="s">
        <v>1470</v>
      </c>
      <c r="B218" s="1335" t="s">
        <v>1259</v>
      </c>
      <c r="C218" s="1335">
        <v>5540</v>
      </c>
      <c r="D218" s="1335">
        <v>5480</v>
      </c>
      <c r="E218" s="1335">
        <v>5740</v>
      </c>
      <c r="F218" s="1353">
        <v>1020</v>
      </c>
      <c r="H218" s="1360"/>
    </row>
    <row r="219" spans="1:8" s="1329" customFormat="1" ht="14.25" customHeight="1" thickBot="1">
      <c r="A219" s="1341" t="s">
        <v>1470</v>
      </c>
      <c r="B219" s="1335" t="s">
        <v>1270</v>
      </c>
      <c r="C219" s="1335">
        <v>5140</v>
      </c>
      <c r="D219" s="1335">
        <v>5100</v>
      </c>
      <c r="E219" s="1335">
        <v>5350</v>
      </c>
      <c r="F219" s="1353">
        <v>1120</v>
      </c>
      <c r="H219" s="1360"/>
    </row>
    <row r="220" spans="1:8" s="1329" customFormat="1" ht="14.25" customHeight="1" thickBot="1">
      <c r="A220" s="1341" t="s">
        <v>1470</v>
      </c>
      <c r="B220" s="1335" t="s">
        <v>1281</v>
      </c>
      <c r="C220" s="1335">
        <v>5040</v>
      </c>
      <c r="D220" s="1335">
        <v>5000</v>
      </c>
      <c r="E220" s="1335">
        <v>5240</v>
      </c>
      <c r="F220" s="1353">
        <v>980</v>
      </c>
      <c r="H220" s="1360"/>
    </row>
    <row r="221" spans="1:8" s="1329" customFormat="1" ht="14.25" customHeight="1" thickBot="1">
      <c r="A221" s="1341" t="s">
        <v>1470</v>
      </c>
      <c r="B221" s="1335" t="s">
        <v>1291</v>
      </c>
      <c r="C221" s="1363"/>
      <c r="D221" s="1363"/>
      <c r="E221" s="1363"/>
      <c r="F221" s="1353">
        <v>1070</v>
      </c>
      <c r="H221" s="1360"/>
    </row>
    <row r="222" spans="1:8" s="1329" customFormat="1" ht="14.25" customHeight="1" thickBot="1">
      <c r="A222" s="1341" t="s">
        <v>1470</v>
      </c>
      <c r="B222" s="1335" t="s">
        <v>1301</v>
      </c>
      <c r="C222" s="1363"/>
      <c r="D222" s="1363"/>
      <c r="E222" s="1363"/>
      <c r="F222" s="1353">
        <v>870</v>
      </c>
      <c r="H222" s="1360"/>
    </row>
    <row r="223" spans="1:8" s="1329" customFormat="1" ht="14.25" customHeight="1" thickBot="1">
      <c r="A223" s="1341" t="s">
        <v>1470</v>
      </c>
      <c r="B223" s="1335" t="s">
        <v>1311</v>
      </c>
      <c r="C223" s="1363"/>
      <c r="D223" s="1363"/>
      <c r="E223" s="1363"/>
      <c r="F223" s="1353">
        <v>940</v>
      </c>
      <c r="H223" s="1360"/>
    </row>
    <row r="224" spans="1:8" s="1329" customFormat="1" ht="14.25" customHeight="1" thickBot="1">
      <c r="A224" s="1341" t="s">
        <v>1470</v>
      </c>
      <c r="B224" s="1335" t="s">
        <v>1321</v>
      </c>
      <c r="C224" s="1363"/>
      <c r="D224" s="1363"/>
      <c r="E224" s="1363"/>
      <c r="F224" s="1353">
        <v>990</v>
      </c>
      <c r="H224" s="1360"/>
    </row>
    <row r="225" spans="1:8" s="1329" customFormat="1" ht="14.25" customHeight="1" thickBot="1">
      <c r="A225" s="1341" t="s">
        <v>1470</v>
      </c>
      <c r="B225" s="1335" t="s">
        <v>1330</v>
      </c>
      <c r="C225" s="1335">
        <v>5730</v>
      </c>
      <c r="D225" s="1335">
        <v>5680</v>
      </c>
      <c r="E225" s="1335">
        <v>6020</v>
      </c>
      <c r="F225" s="1353">
        <v>1000</v>
      </c>
      <c r="H225" s="1360"/>
    </row>
    <row r="226" spans="1:8" s="1329" customFormat="1" ht="14.25" customHeight="1" thickBot="1">
      <c r="A226" s="1341" t="s">
        <v>1470</v>
      </c>
      <c r="B226" s="1335" t="s">
        <v>1339</v>
      </c>
      <c r="C226" s="1335">
        <v>4970</v>
      </c>
      <c r="D226" s="1335">
        <v>4940</v>
      </c>
      <c r="E226" s="1335">
        <v>5180</v>
      </c>
      <c r="F226" s="1353">
        <v>960</v>
      </c>
      <c r="H226" s="1360"/>
    </row>
    <row r="227" spans="1:8" s="1329" customFormat="1" ht="14.25" customHeight="1" thickBot="1">
      <c r="A227" s="1341" t="s">
        <v>1470</v>
      </c>
      <c r="B227" s="1335" t="s">
        <v>1347</v>
      </c>
      <c r="C227" s="1335">
        <v>5550</v>
      </c>
      <c r="D227" s="1335">
        <v>5500</v>
      </c>
      <c r="E227" s="1335">
        <v>5780</v>
      </c>
      <c r="F227" s="1353">
        <v>940</v>
      </c>
      <c r="H227" s="1360"/>
    </row>
    <row r="228" spans="1:8" s="1329" customFormat="1" ht="14.25" customHeight="1" thickBot="1">
      <c r="A228" s="1341" t="s">
        <v>1470</v>
      </c>
      <c r="B228" s="1335" t="s">
        <v>1354</v>
      </c>
      <c r="C228" s="1335">
        <v>5460</v>
      </c>
      <c r="D228" s="1335">
        <v>5420</v>
      </c>
      <c r="E228" s="1335">
        <v>5690</v>
      </c>
      <c r="F228" s="1353">
        <v>910</v>
      </c>
      <c r="H228" s="1360"/>
    </row>
    <row r="229" spans="1:8" s="1329" customFormat="1" ht="14.25" customHeight="1" thickBot="1">
      <c r="A229" s="1341" t="s">
        <v>1470</v>
      </c>
      <c r="B229" s="1335" t="s">
        <v>1361</v>
      </c>
      <c r="C229" s="1335">
        <v>5310</v>
      </c>
      <c r="D229" s="1335">
        <v>5270</v>
      </c>
      <c r="E229" s="1335">
        <v>5510</v>
      </c>
      <c r="F229" s="1362"/>
      <c r="H229" s="1360"/>
    </row>
    <row r="230" spans="1:8" s="1329" customFormat="1" ht="14.25" customHeight="1" thickBot="1">
      <c r="A230" s="1341" t="s">
        <v>1470</v>
      </c>
      <c r="B230" s="1335" t="s">
        <v>1368</v>
      </c>
      <c r="C230" s="1335">
        <v>4540</v>
      </c>
      <c r="D230" s="1335">
        <v>4500</v>
      </c>
      <c r="E230" s="1335">
        <v>4730</v>
      </c>
      <c r="F230" s="1362"/>
      <c r="H230" s="1360"/>
    </row>
    <row r="231" spans="1:8" s="1329" customFormat="1" ht="14.25" customHeight="1" thickBot="1">
      <c r="A231" s="1341" t="s">
        <v>1470</v>
      </c>
      <c r="B231" s="1335" t="s">
        <v>1375</v>
      </c>
      <c r="C231" s="1335">
        <v>4480</v>
      </c>
      <c r="D231" s="1335">
        <v>4410</v>
      </c>
      <c r="E231" s="1335">
        <v>4640</v>
      </c>
      <c r="F231" s="1362"/>
      <c r="H231" s="1360"/>
    </row>
    <row r="232" spans="1:8" s="1329" customFormat="1" ht="14.25" customHeight="1" thickBot="1">
      <c r="A232" s="1341" t="s">
        <v>1470</v>
      </c>
      <c r="B232" s="1335" t="s">
        <v>1382</v>
      </c>
      <c r="C232" s="1335">
        <v>5670</v>
      </c>
      <c r="D232" s="1335">
        <v>5600</v>
      </c>
      <c r="E232" s="1335">
        <v>5890</v>
      </c>
      <c r="F232" s="1353">
        <v>1150</v>
      </c>
      <c r="H232" s="1360"/>
    </row>
    <row r="233" spans="1:8" s="1329" customFormat="1" ht="14.25" customHeight="1" thickBot="1">
      <c r="A233" s="1341" t="s">
        <v>1470</v>
      </c>
      <c r="B233" s="1335" t="s">
        <v>1389</v>
      </c>
      <c r="C233" s="1335">
        <v>4590</v>
      </c>
      <c r="D233" s="1335">
        <v>4500</v>
      </c>
      <c r="E233" s="1335">
        <v>4600</v>
      </c>
      <c r="F233" s="1362"/>
      <c r="H233" s="1360"/>
    </row>
    <row r="234" spans="1:8" s="1329" customFormat="1" ht="14.25" customHeight="1" thickBot="1">
      <c r="A234" s="1341" t="s">
        <v>1470</v>
      </c>
      <c r="B234" s="1335" t="s">
        <v>2418</v>
      </c>
      <c r="C234" s="1335">
        <v>3990</v>
      </c>
      <c r="D234" s="1335">
        <v>3950</v>
      </c>
      <c r="E234" s="1335">
        <v>4180</v>
      </c>
      <c r="F234" s="1362"/>
      <c r="H234" s="1360"/>
    </row>
    <row r="235" spans="1:8" s="1329" customFormat="1" ht="14.25" customHeight="1" thickBot="1">
      <c r="A235" s="1341" t="s">
        <v>1470</v>
      </c>
      <c r="B235" s="1335" t="s">
        <v>1398</v>
      </c>
      <c r="C235" s="1335">
        <v>5590</v>
      </c>
      <c r="D235" s="1335">
        <v>5540</v>
      </c>
      <c r="E235" s="1335">
        <v>5810</v>
      </c>
      <c r="F235" s="1353">
        <v>970</v>
      </c>
      <c r="H235" s="1360"/>
    </row>
    <row r="236" spans="1:8" s="1329" customFormat="1" ht="14.25" customHeight="1" thickBot="1">
      <c r="A236" s="1341" t="s">
        <v>1470</v>
      </c>
      <c r="B236" s="1335" t="s">
        <v>1403</v>
      </c>
      <c r="C236" s="1335"/>
      <c r="D236" s="1335"/>
      <c r="E236" s="1335"/>
      <c r="F236" s="1353">
        <v>1020</v>
      </c>
      <c r="H236" s="1360"/>
    </row>
    <row r="237" spans="1:8" s="1329" customFormat="1" ht="14.25" customHeight="1" thickBot="1">
      <c r="A237" s="1341" t="s">
        <v>1470</v>
      </c>
      <c r="B237" s="1335" t="s">
        <v>1408</v>
      </c>
      <c r="C237" s="1335"/>
      <c r="D237" s="1335"/>
      <c r="E237" s="1335"/>
      <c r="F237" s="1353">
        <v>960</v>
      </c>
      <c r="H237" s="1360"/>
    </row>
    <row r="238" spans="1:8" s="1329" customFormat="1" ht="14.25" customHeight="1" thickBot="1">
      <c r="A238" s="1341" t="s">
        <v>1470</v>
      </c>
      <c r="B238" s="1335" t="s">
        <v>1413</v>
      </c>
      <c r="C238" s="1335"/>
      <c r="D238" s="1335"/>
      <c r="E238" s="1335"/>
      <c r="F238" s="1353">
        <v>960</v>
      </c>
      <c r="H238" s="1360"/>
    </row>
    <row r="239" spans="1:8" s="1329" customFormat="1" ht="14.25" customHeight="1" thickBot="1">
      <c r="A239" s="1341" t="s">
        <v>1470</v>
      </c>
      <c r="B239" s="1335" t="s">
        <v>1418</v>
      </c>
      <c r="C239" s="1335"/>
      <c r="D239" s="1335"/>
      <c r="E239" s="1335"/>
      <c r="F239" s="1353">
        <v>960</v>
      </c>
      <c r="H239" s="1360"/>
    </row>
    <row r="240" spans="1:8" s="1329" customFormat="1" ht="14.25" customHeight="1" thickBot="1">
      <c r="A240" s="1341" t="s">
        <v>1470</v>
      </c>
      <c r="B240" s="1335" t="s">
        <v>1422</v>
      </c>
      <c r="C240" s="1335"/>
      <c r="D240" s="1335"/>
      <c r="E240" s="1335"/>
      <c r="F240" s="1353">
        <v>990</v>
      </c>
      <c r="H240" s="1360"/>
    </row>
    <row r="241" spans="1:8" s="1329" customFormat="1" ht="14.25" customHeight="1" thickBot="1">
      <c r="A241" s="1341" t="s">
        <v>1470</v>
      </c>
      <c r="B241" s="1335" t="s">
        <v>1426</v>
      </c>
      <c r="C241" s="1335"/>
      <c r="D241" s="1335"/>
      <c r="E241" s="1335"/>
      <c r="F241" s="1353">
        <v>1000</v>
      </c>
      <c r="H241" s="1360"/>
    </row>
    <row r="242" spans="1:8" s="1329" customFormat="1" ht="14.25" customHeight="1" thickBot="1">
      <c r="A242" s="1341" t="s">
        <v>1470</v>
      </c>
      <c r="B242" s="1335" t="s">
        <v>1430</v>
      </c>
      <c r="C242" s="1335"/>
      <c r="D242" s="1335"/>
      <c r="E242" s="1335"/>
      <c r="F242" s="1353">
        <v>980</v>
      </c>
      <c r="H242" s="1360"/>
    </row>
    <row r="243" spans="1:8" s="1329" customFormat="1" ht="14.25" customHeight="1" thickBot="1">
      <c r="A243" s="1341" t="s">
        <v>1470</v>
      </c>
      <c r="B243" s="1335" t="s">
        <v>1434</v>
      </c>
      <c r="C243" s="1335"/>
      <c r="D243" s="1335"/>
      <c r="E243" s="1335"/>
      <c r="F243" s="1353">
        <v>970</v>
      </c>
      <c r="H243" s="1360"/>
    </row>
    <row r="244" spans="1:8" s="1329" customFormat="1" ht="14.25" customHeight="1" thickBot="1">
      <c r="A244" s="1341" t="s">
        <v>1470</v>
      </c>
      <c r="B244" s="1351" t="s">
        <v>1438</v>
      </c>
      <c r="C244" s="1351"/>
      <c r="D244" s="1351"/>
      <c r="E244" s="1351"/>
      <c r="F244" s="1361">
        <v>970</v>
      </c>
      <c r="H244" s="1360"/>
    </row>
    <row r="245" spans="1:8" s="1329" customFormat="1" ht="14.25" customHeight="1" thickBot="1">
      <c r="A245" s="1341" t="s">
        <v>1472</v>
      </c>
      <c r="B245" s="1342" t="s">
        <v>1473</v>
      </c>
      <c r="C245" s="1342">
        <v>4050</v>
      </c>
      <c r="D245" s="1342">
        <v>4020</v>
      </c>
      <c r="E245" s="1342">
        <v>4160</v>
      </c>
      <c r="F245" s="1343">
        <v>840</v>
      </c>
      <c r="H245" s="1360"/>
    </row>
    <row r="246" spans="1:8" s="1329" customFormat="1" ht="14.25" customHeight="1" thickBot="1">
      <c r="A246" s="1341" t="s">
        <v>1472</v>
      </c>
      <c r="B246" s="1335" t="s">
        <v>1129</v>
      </c>
      <c r="C246" s="1335">
        <v>4010</v>
      </c>
      <c r="D246" s="1335">
        <v>3960</v>
      </c>
      <c r="E246" s="1335">
        <v>4130</v>
      </c>
      <c r="F246" s="1353">
        <v>840</v>
      </c>
      <c r="H246" s="1360"/>
    </row>
    <row r="247" spans="1:8" s="1329" customFormat="1" ht="14.25" customHeight="1" thickBot="1">
      <c r="A247" s="1341" t="s">
        <v>1472</v>
      </c>
      <c r="B247" s="1335" t="s">
        <v>1474</v>
      </c>
      <c r="C247" s="1335">
        <v>3170</v>
      </c>
      <c r="D247" s="1335">
        <v>3140</v>
      </c>
      <c r="E247" s="1335">
        <v>3270</v>
      </c>
      <c r="F247" s="1353">
        <v>640</v>
      </c>
      <c r="H247" s="1360"/>
    </row>
    <row r="248" spans="1:8" s="1329" customFormat="1" ht="14.25" customHeight="1" thickBot="1">
      <c r="A248" s="1341" t="s">
        <v>1472</v>
      </c>
      <c r="B248" s="1335" t="s">
        <v>1475</v>
      </c>
      <c r="C248" s="1335">
        <v>3140</v>
      </c>
      <c r="D248" s="1335">
        <v>3120</v>
      </c>
      <c r="E248" s="1335">
        <v>3240</v>
      </c>
      <c r="F248" s="1353">
        <v>620</v>
      </c>
      <c r="H248" s="1360"/>
    </row>
    <row r="249" spans="1:8" s="1329" customFormat="1" ht="14.25" customHeight="1" thickBot="1">
      <c r="A249" s="1341" t="s">
        <v>1472</v>
      </c>
      <c r="B249" s="1335" t="s">
        <v>1167</v>
      </c>
      <c r="C249" s="1335">
        <v>3200</v>
      </c>
      <c r="D249" s="1335">
        <v>3100</v>
      </c>
      <c r="E249" s="1335">
        <v>3230</v>
      </c>
      <c r="F249" s="1353">
        <v>750</v>
      </c>
      <c r="H249" s="1360"/>
    </row>
    <row r="250" spans="1:8" s="1329" customFormat="1" ht="14.25" customHeight="1" thickBot="1">
      <c r="A250" s="1341" t="s">
        <v>1472</v>
      </c>
      <c r="B250" s="1335" t="s">
        <v>1179</v>
      </c>
      <c r="C250" s="1335">
        <v>4060</v>
      </c>
      <c r="D250" s="1335">
        <v>4000</v>
      </c>
      <c r="E250" s="1335">
        <v>4140</v>
      </c>
      <c r="F250" s="1353">
        <v>790</v>
      </c>
      <c r="H250" s="1360"/>
    </row>
    <row r="251" spans="1:8" s="1329" customFormat="1" ht="14.25" customHeight="1" thickBot="1">
      <c r="A251" s="1341" t="s">
        <v>1472</v>
      </c>
      <c r="B251" s="1335" t="s">
        <v>1191</v>
      </c>
      <c r="C251" s="1335">
        <v>3990</v>
      </c>
      <c r="D251" s="1335">
        <v>3970</v>
      </c>
      <c r="E251" s="1335">
        <v>4110</v>
      </c>
      <c r="F251" s="1353">
        <v>730</v>
      </c>
      <c r="H251" s="1360"/>
    </row>
    <row r="252" spans="1:8" s="1329" customFormat="1" ht="14.25" customHeight="1" thickBot="1">
      <c r="A252" s="1341" t="s">
        <v>1472</v>
      </c>
      <c r="B252" s="1335" t="s">
        <v>1203</v>
      </c>
      <c r="C252" s="1335">
        <v>3560</v>
      </c>
      <c r="D252" s="1335">
        <v>3530</v>
      </c>
      <c r="E252" s="1335">
        <v>3650</v>
      </c>
      <c r="F252" s="1353">
        <v>750</v>
      </c>
      <c r="H252" s="1360"/>
    </row>
    <row r="253" spans="1:8" s="1329" customFormat="1" ht="14.25" customHeight="1" thickBot="1">
      <c r="A253" s="1341" t="s">
        <v>1472</v>
      </c>
      <c r="B253" s="1335" t="s">
        <v>1216</v>
      </c>
      <c r="C253" s="1335">
        <v>3780</v>
      </c>
      <c r="D253" s="1335">
        <v>3750</v>
      </c>
      <c r="E253" s="1335">
        <v>3870</v>
      </c>
      <c r="F253" s="1353">
        <v>770</v>
      </c>
      <c r="H253" s="1360"/>
    </row>
    <row r="254" spans="1:8" s="1329" customFormat="1" ht="14.25" customHeight="1" thickBot="1">
      <c r="A254" s="1341" t="s">
        <v>1472</v>
      </c>
      <c r="B254" s="1335" t="s">
        <v>1227</v>
      </c>
      <c r="C254" s="1363"/>
      <c r="D254" s="1363"/>
      <c r="E254" s="1363"/>
      <c r="F254" s="1353">
        <v>740</v>
      </c>
      <c r="H254" s="1360"/>
    </row>
    <row r="255" spans="1:8" s="1329" customFormat="1" ht="14.25" customHeight="1" thickBot="1">
      <c r="A255" s="1341" t="s">
        <v>1472</v>
      </c>
      <c r="B255" s="1335" t="s">
        <v>1238</v>
      </c>
      <c r="C255" s="1363"/>
      <c r="D255" s="1363"/>
      <c r="E255" s="1363"/>
      <c r="F255" s="1353">
        <v>760</v>
      </c>
      <c r="H255" s="1360"/>
    </row>
    <row r="256" spans="1:8" s="1329" customFormat="1" ht="14.25" customHeight="1" thickBot="1">
      <c r="A256" s="1341" t="s">
        <v>1472</v>
      </c>
      <c r="B256" s="1335" t="s">
        <v>1249</v>
      </c>
      <c r="C256" s="1335">
        <v>3760</v>
      </c>
      <c r="D256" s="1335">
        <v>3730</v>
      </c>
      <c r="E256" s="1335">
        <v>3870</v>
      </c>
      <c r="F256" s="1353">
        <v>830</v>
      </c>
      <c r="H256" s="1360"/>
    </row>
    <row r="257" spans="1:8" s="1329" customFormat="1" ht="14.25" customHeight="1" thickBot="1">
      <c r="A257" s="1341" t="s">
        <v>1472</v>
      </c>
      <c r="B257" s="1335" t="s">
        <v>1260</v>
      </c>
      <c r="C257" s="1335">
        <v>3570</v>
      </c>
      <c r="D257" s="1335">
        <v>3540</v>
      </c>
      <c r="E257" s="1335">
        <v>3650</v>
      </c>
      <c r="F257" s="1353">
        <v>790</v>
      </c>
      <c r="H257" s="1360"/>
    </row>
    <row r="258" spans="1:8" s="1329" customFormat="1" ht="14.25" customHeight="1" thickBot="1">
      <c r="A258" s="1341" t="s">
        <v>1472</v>
      </c>
      <c r="B258" s="1335" t="s">
        <v>1271</v>
      </c>
      <c r="C258" s="1335">
        <v>3410</v>
      </c>
      <c r="D258" s="1335">
        <v>3380</v>
      </c>
      <c r="E258" s="1335">
        <v>3500</v>
      </c>
      <c r="F258" s="1353">
        <v>830</v>
      </c>
      <c r="H258" s="1360"/>
    </row>
    <row r="259" spans="1:8" s="1329" customFormat="1" ht="14.25" customHeight="1" thickBot="1">
      <c r="A259" s="1341" t="s">
        <v>1472</v>
      </c>
      <c r="B259" s="1335" t="s">
        <v>1282</v>
      </c>
      <c r="C259" s="1335">
        <v>3870</v>
      </c>
      <c r="D259" s="1335">
        <v>3840</v>
      </c>
      <c r="E259" s="1335">
        <v>3970</v>
      </c>
      <c r="F259" s="1353">
        <v>830</v>
      </c>
      <c r="H259" s="1360"/>
    </row>
    <row r="260" spans="1:8" s="1329" customFormat="1" ht="14.25" customHeight="1" thickBot="1">
      <c r="A260" s="1341" t="s">
        <v>1472</v>
      </c>
      <c r="B260" s="1335" t="s">
        <v>1292</v>
      </c>
      <c r="C260" s="1335">
        <v>3700</v>
      </c>
      <c r="D260" s="1335">
        <v>3660</v>
      </c>
      <c r="E260" s="1335">
        <v>3810</v>
      </c>
      <c r="F260" s="1353">
        <v>790</v>
      </c>
      <c r="H260" s="1360"/>
    </row>
    <row r="261" spans="1:8" s="1329" customFormat="1" ht="14.25" customHeight="1" thickBot="1">
      <c r="A261" s="1341" t="s">
        <v>1472</v>
      </c>
      <c r="B261" s="1335" t="s">
        <v>1302</v>
      </c>
      <c r="C261" s="1335">
        <v>3470</v>
      </c>
      <c r="D261" s="1335">
        <v>3430</v>
      </c>
      <c r="E261" s="1335">
        <v>3640</v>
      </c>
      <c r="F261" s="1353">
        <v>760</v>
      </c>
      <c r="H261" s="1360"/>
    </row>
    <row r="262" spans="1:8" s="1329" customFormat="1" ht="14.25" customHeight="1" thickBot="1">
      <c r="A262" s="1341" t="s">
        <v>1472</v>
      </c>
      <c r="B262" s="1335" t="s">
        <v>1312</v>
      </c>
      <c r="C262" s="1335">
        <v>3510</v>
      </c>
      <c r="D262" s="1335">
        <v>3470</v>
      </c>
      <c r="E262" s="1335">
        <v>3680</v>
      </c>
      <c r="F262" s="1362"/>
      <c r="H262" s="1360"/>
    </row>
    <row r="263" spans="1:8" s="1329" customFormat="1" ht="14.25" customHeight="1" thickBot="1">
      <c r="A263" s="1341" t="s">
        <v>1472</v>
      </c>
      <c r="B263" s="1335" t="s">
        <v>1322</v>
      </c>
      <c r="C263" s="1335">
        <v>3960</v>
      </c>
      <c r="D263" s="1335">
        <v>3930</v>
      </c>
      <c r="E263" s="1335">
        <v>4070</v>
      </c>
      <c r="F263" s="1353">
        <v>830</v>
      </c>
      <c r="H263" s="1360"/>
    </row>
    <row r="264" spans="1:8" s="1329" customFormat="1" ht="14.25" customHeight="1" thickBot="1">
      <c r="A264" s="1341" t="s">
        <v>1472</v>
      </c>
      <c r="B264" s="1335" t="s">
        <v>1331</v>
      </c>
      <c r="C264" s="1335">
        <v>4010</v>
      </c>
      <c r="D264" s="1335">
        <v>3980</v>
      </c>
      <c r="E264" s="1335">
        <v>4150</v>
      </c>
      <c r="F264" s="1353">
        <v>760</v>
      </c>
      <c r="H264" s="1360"/>
    </row>
    <row r="265" spans="1:8" s="1329" customFormat="1" ht="14.25" customHeight="1" thickBot="1">
      <c r="A265" s="1341" t="s">
        <v>1472</v>
      </c>
      <c r="B265" s="1335" t="s">
        <v>1340</v>
      </c>
      <c r="C265" s="1335">
        <v>3910</v>
      </c>
      <c r="D265" s="1335">
        <v>3890</v>
      </c>
      <c r="E265" s="1335">
        <v>4040</v>
      </c>
      <c r="F265" s="1353">
        <v>780</v>
      </c>
      <c r="H265" s="1360"/>
    </row>
    <row r="266" spans="1:8" s="1329" customFormat="1" ht="14.25" customHeight="1" thickBot="1">
      <c r="A266" s="1341" t="s">
        <v>1472</v>
      </c>
      <c r="B266" s="1335" t="s">
        <v>1348</v>
      </c>
      <c r="C266" s="1335">
        <v>3930</v>
      </c>
      <c r="D266" s="1335">
        <v>3900</v>
      </c>
      <c r="E266" s="1335">
        <v>4080</v>
      </c>
      <c r="F266" s="1353">
        <v>770</v>
      </c>
      <c r="H266" s="1360"/>
    </row>
    <row r="267" spans="1:8" s="1329" customFormat="1" ht="14.25" customHeight="1" thickBot="1">
      <c r="A267" s="1341" t="s">
        <v>1472</v>
      </c>
      <c r="B267" s="1335" t="s">
        <v>1355</v>
      </c>
      <c r="C267" s="1335">
        <v>3800</v>
      </c>
      <c r="D267" s="1335">
        <v>3780</v>
      </c>
      <c r="E267" s="1335">
        <v>3930</v>
      </c>
      <c r="F267" s="1362"/>
      <c r="H267" s="1360"/>
    </row>
    <row r="268" spans="1:8" s="1329" customFormat="1" ht="14.25" customHeight="1" thickBot="1">
      <c r="A268" s="1341" t="s">
        <v>1472</v>
      </c>
      <c r="B268" s="1335" t="s">
        <v>1362</v>
      </c>
      <c r="C268" s="1335">
        <v>3460</v>
      </c>
      <c r="D268" s="1335">
        <v>3430</v>
      </c>
      <c r="E268" s="1335">
        <v>3560</v>
      </c>
      <c r="F268" s="1353">
        <v>840</v>
      </c>
      <c r="H268" s="1360"/>
    </row>
    <row r="269" spans="1:8" s="1329" customFormat="1" ht="14.25" customHeight="1" thickBot="1">
      <c r="A269" s="1341" t="s">
        <v>1472</v>
      </c>
      <c r="B269" s="1335" t="s">
        <v>1369</v>
      </c>
      <c r="C269" s="1335">
        <v>3210</v>
      </c>
      <c r="D269" s="1335">
        <v>3190</v>
      </c>
      <c r="E269" s="1335">
        <v>3310</v>
      </c>
      <c r="F269" s="1353">
        <v>730</v>
      </c>
      <c r="H269" s="1360"/>
    </row>
    <row r="270" spans="1:8" s="1329" customFormat="1" ht="14.25" customHeight="1" thickBot="1">
      <c r="A270" s="1341" t="s">
        <v>1472</v>
      </c>
      <c r="B270" s="1335" t="s">
        <v>1376</v>
      </c>
      <c r="C270" s="1335">
        <v>3240</v>
      </c>
      <c r="D270" s="1335">
        <v>3210</v>
      </c>
      <c r="E270" s="1335">
        <v>3390</v>
      </c>
      <c r="F270" s="1353">
        <v>820</v>
      </c>
      <c r="H270" s="1360"/>
    </row>
    <row r="271" spans="1:8" s="1329" customFormat="1" ht="14.25" customHeight="1" thickBot="1">
      <c r="A271" s="1341" t="s">
        <v>1472</v>
      </c>
      <c r="B271" s="1335" t="s">
        <v>1383</v>
      </c>
      <c r="C271" s="1335">
        <v>3300</v>
      </c>
      <c r="D271" s="1335">
        <v>3270</v>
      </c>
      <c r="E271" s="1335">
        <v>3380</v>
      </c>
      <c r="F271" s="1353">
        <v>750</v>
      </c>
      <c r="H271" s="1360"/>
    </row>
    <row r="272" spans="1:8" s="1329" customFormat="1" ht="14.25" customHeight="1" thickBot="1">
      <c r="A272" s="1341" t="s">
        <v>1472</v>
      </c>
      <c r="B272" s="1335" t="s">
        <v>1390</v>
      </c>
      <c r="C272" s="1363"/>
      <c r="D272" s="1363"/>
      <c r="E272" s="1363"/>
      <c r="F272" s="1353">
        <v>740</v>
      </c>
      <c r="H272" s="1360"/>
    </row>
    <row r="273" spans="1:8" s="1329" customFormat="1" ht="14.25" customHeight="1" thickBot="1">
      <c r="A273" s="1341" t="s">
        <v>1472</v>
      </c>
      <c r="B273" s="1335" t="s">
        <v>1394</v>
      </c>
      <c r="C273" s="1335">
        <v>3130</v>
      </c>
      <c r="D273" s="1335">
        <v>3100</v>
      </c>
      <c r="E273" s="1335">
        <v>3230</v>
      </c>
      <c r="F273" s="1353">
        <v>700</v>
      </c>
      <c r="H273" s="1360"/>
    </row>
    <row r="274" spans="1:8" s="1329" customFormat="1" ht="14.25" customHeight="1" thickBot="1">
      <c r="A274" s="1341" t="s">
        <v>1472</v>
      </c>
      <c r="B274" s="1335" t="s">
        <v>1399</v>
      </c>
      <c r="C274" s="1335">
        <v>3460</v>
      </c>
      <c r="D274" s="1335">
        <v>3430</v>
      </c>
      <c r="E274" s="1335">
        <v>3560</v>
      </c>
      <c r="F274" s="1353">
        <v>690</v>
      </c>
      <c r="H274" s="1360"/>
    </row>
    <row r="275" spans="1:8" s="1329" customFormat="1" ht="14.25" customHeight="1" thickBot="1">
      <c r="A275" s="1341" t="s">
        <v>1472</v>
      </c>
      <c r="B275" s="1335" t="s">
        <v>1404</v>
      </c>
      <c r="C275" s="1335">
        <v>4040</v>
      </c>
      <c r="D275" s="1335">
        <v>4020</v>
      </c>
      <c r="E275" s="1335">
        <v>4160</v>
      </c>
      <c r="F275" s="1353">
        <v>820</v>
      </c>
      <c r="H275" s="1360"/>
    </row>
    <row r="276" spans="1:8" s="1329" customFormat="1" ht="14.25" customHeight="1" thickBot="1">
      <c r="A276" s="1341" t="s">
        <v>1472</v>
      </c>
      <c r="B276" s="1335" t="s">
        <v>1409</v>
      </c>
      <c r="C276" s="1335">
        <v>3270</v>
      </c>
      <c r="D276" s="1335">
        <v>3240</v>
      </c>
      <c r="E276" s="1335">
        <v>3350</v>
      </c>
      <c r="F276" s="1353">
        <v>680</v>
      </c>
      <c r="H276" s="1360"/>
    </row>
    <row r="277" spans="1:8" s="1329" customFormat="1" ht="14.25" customHeight="1" thickBot="1">
      <c r="A277" s="1341" t="s">
        <v>1472</v>
      </c>
      <c r="B277" s="1335" t="s">
        <v>1414</v>
      </c>
      <c r="C277" s="1335">
        <v>2930</v>
      </c>
      <c r="D277" s="1335">
        <v>2900</v>
      </c>
      <c r="E277" s="1335">
        <v>3000</v>
      </c>
      <c r="F277" s="1353">
        <v>640</v>
      </c>
      <c r="H277" s="1360"/>
    </row>
    <row r="278" spans="1:8" s="1329" customFormat="1" ht="14.25" customHeight="1" thickBot="1">
      <c r="A278" s="1341" t="s">
        <v>1472</v>
      </c>
      <c r="B278" s="1335" t="s">
        <v>1419</v>
      </c>
      <c r="C278" s="1335">
        <v>4080</v>
      </c>
      <c r="D278" s="1335">
        <v>4030</v>
      </c>
      <c r="E278" s="1335">
        <v>4140</v>
      </c>
      <c r="F278" s="1353">
        <v>850</v>
      </c>
      <c r="H278" s="1360"/>
    </row>
    <row r="279" spans="1:8" s="1329" customFormat="1" ht="14.25" customHeight="1" thickBot="1">
      <c r="A279" s="1341" t="s">
        <v>1472</v>
      </c>
      <c r="B279" s="1335" t="s">
        <v>1423</v>
      </c>
      <c r="C279" s="1335"/>
      <c r="D279" s="1335"/>
      <c r="E279" s="1335"/>
      <c r="F279" s="1353">
        <v>760</v>
      </c>
      <c r="H279" s="1360"/>
    </row>
    <row r="280" spans="1:8" s="1329" customFormat="1" ht="14.25" customHeight="1" thickBot="1">
      <c r="A280" s="1341" t="s">
        <v>1472</v>
      </c>
      <c r="B280" s="1335" t="s">
        <v>1427</v>
      </c>
      <c r="C280" s="1335"/>
      <c r="D280" s="1335"/>
      <c r="E280" s="1335"/>
      <c r="F280" s="1353">
        <v>760</v>
      </c>
      <c r="H280" s="1360"/>
    </row>
    <row r="281" spans="1:8" s="1329" customFormat="1" ht="14.25" customHeight="1" thickBot="1">
      <c r="A281" s="1341" t="s">
        <v>1472</v>
      </c>
      <c r="B281" s="1335" t="s">
        <v>1431</v>
      </c>
      <c r="C281" s="1335"/>
      <c r="D281" s="1335"/>
      <c r="E281" s="1335"/>
      <c r="F281" s="1353">
        <v>780</v>
      </c>
      <c r="H281" s="1360"/>
    </row>
    <row r="282" spans="1:8" s="1329" customFormat="1" ht="14.25" customHeight="1" thickBot="1">
      <c r="A282" s="1341" t="s">
        <v>1472</v>
      </c>
      <c r="B282" s="1335" t="s">
        <v>1435</v>
      </c>
      <c r="C282" s="1335"/>
      <c r="D282" s="1335"/>
      <c r="E282" s="1335"/>
      <c r="F282" s="1353">
        <v>730</v>
      </c>
      <c r="H282" s="1360"/>
    </row>
    <row r="283" spans="1:8" s="1329" customFormat="1" ht="14.25" customHeight="1" thickBot="1">
      <c r="A283" s="1341" t="s">
        <v>1472</v>
      </c>
      <c r="B283" s="1335" t="s">
        <v>1439</v>
      </c>
      <c r="C283" s="1335"/>
      <c r="D283" s="1335"/>
      <c r="E283" s="1335"/>
      <c r="F283" s="1353">
        <v>770</v>
      </c>
      <c r="H283" s="1360"/>
    </row>
    <row r="284" spans="1:8" s="1329" customFormat="1" ht="14.25" customHeight="1" thickBot="1">
      <c r="A284" s="1341" t="s">
        <v>1472</v>
      </c>
      <c r="B284" s="1335" t="s">
        <v>1442</v>
      </c>
      <c r="C284" s="1335"/>
      <c r="D284" s="1335"/>
      <c r="E284" s="1335"/>
      <c r="F284" s="1353">
        <v>640</v>
      </c>
      <c r="H284" s="1360"/>
    </row>
    <row r="285" spans="1:8" s="1329" customFormat="1" ht="14.25" customHeight="1" thickBot="1">
      <c r="A285" s="1341" t="s">
        <v>1472</v>
      </c>
      <c r="B285" s="1335" t="s">
        <v>1445</v>
      </c>
      <c r="C285" s="1335"/>
      <c r="D285" s="1335"/>
      <c r="E285" s="1335"/>
      <c r="F285" s="1353">
        <v>640</v>
      </c>
      <c r="H285" s="1360"/>
    </row>
    <row r="286" spans="1:8" s="1329" customFormat="1" ht="14.25" customHeight="1" thickBot="1">
      <c r="A286" s="1341" t="s">
        <v>1472</v>
      </c>
      <c r="B286" s="1335" t="s">
        <v>1448</v>
      </c>
      <c r="C286" s="1335"/>
      <c r="D286" s="1335"/>
      <c r="E286" s="1335"/>
      <c r="F286" s="1353">
        <v>850</v>
      </c>
      <c r="H286" s="1360"/>
    </row>
    <row r="287" spans="1:8" s="1329" customFormat="1" ht="14.25" customHeight="1" thickBot="1">
      <c r="A287" s="1341" t="s">
        <v>1472</v>
      </c>
      <c r="B287" s="1335" t="s">
        <v>1451</v>
      </c>
      <c r="C287" s="1335"/>
      <c r="D287" s="1335"/>
      <c r="E287" s="1335"/>
      <c r="F287" s="1353">
        <v>760</v>
      </c>
      <c r="H287" s="1360"/>
    </row>
    <row r="288" spans="1:8" s="1329" customFormat="1" ht="14.25" customHeight="1" thickBot="1">
      <c r="A288" s="1341" t="s">
        <v>1472</v>
      </c>
      <c r="B288" s="1335" t="s">
        <v>1454</v>
      </c>
      <c r="C288" s="1335"/>
      <c r="D288" s="1335"/>
      <c r="E288" s="1335"/>
      <c r="F288" s="1353">
        <v>830</v>
      </c>
      <c r="H288" s="1360"/>
    </row>
    <row r="289" spans="1:8" s="1329" customFormat="1" ht="14.25" customHeight="1" thickBot="1">
      <c r="A289" s="1341" t="s">
        <v>1472</v>
      </c>
      <c r="B289" s="1351" t="s">
        <v>1457</v>
      </c>
      <c r="C289" s="1351"/>
      <c r="D289" s="1351"/>
      <c r="E289" s="1351"/>
      <c r="F289" s="1361">
        <v>680</v>
      </c>
      <c r="H289" s="1360"/>
    </row>
    <row r="290" spans="1:8" s="1329" customFormat="1" ht="14.25" customHeight="1" thickBot="1">
      <c r="A290" s="1341" t="s">
        <v>1476</v>
      </c>
      <c r="B290" s="1342" t="s">
        <v>1477</v>
      </c>
      <c r="C290" s="1342">
        <v>2770</v>
      </c>
      <c r="D290" s="1342">
        <v>2740</v>
      </c>
      <c r="E290" s="1342">
        <v>2720</v>
      </c>
      <c r="F290" s="1364"/>
      <c r="H290" s="1360"/>
    </row>
    <row r="291" spans="1:8" s="1329" customFormat="1" ht="14.25" customHeight="1" thickBot="1">
      <c r="A291" s="1341" t="s">
        <v>1476</v>
      </c>
      <c r="B291" s="1335" t="s">
        <v>1130</v>
      </c>
      <c r="C291" s="1335">
        <v>2670</v>
      </c>
      <c r="D291" s="1335">
        <v>2640</v>
      </c>
      <c r="E291" s="1335">
        <v>2620</v>
      </c>
      <c r="F291" s="1362"/>
      <c r="H291" s="1360"/>
    </row>
    <row r="292" spans="1:8" s="1329" customFormat="1" ht="14.25" customHeight="1" thickBot="1">
      <c r="A292" s="1341" t="s">
        <v>1476</v>
      </c>
      <c r="B292" s="1335" t="s">
        <v>1478</v>
      </c>
      <c r="C292" s="1335">
        <v>2180</v>
      </c>
      <c r="D292" s="1335">
        <v>2140</v>
      </c>
      <c r="E292" s="1335">
        <v>2120</v>
      </c>
      <c r="F292" s="1353">
        <v>490</v>
      </c>
      <c r="H292" s="1360"/>
    </row>
    <row r="293" spans="1:8" s="1329" customFormat="1" ht="14.25" customHeight="1" thickBot="1">
      <c r="A293" s="1341" t="s">
        <v>1476</v>
      </c>
      <c r="B293" s="1335" t="s">
        <v>1479</v>
      </c>
      <c r="C293" s="1335"/>
      <c r="D293" s="1335"/>
      <c r="E293" s="1335"/>
      <c r="F293" s="1353">
        <v>470</v>
      </c>
      <c r="H293" s="1360"/>
    </row>
    <row r="294" spans="1:8" s="1329" customFormat="1" ht="14.25" customHeight="1" thickBot="1">
      <c r="A294" s="1341" t="s">
        <v>1476</v>
      </c>
      <c r="B294" s="1335" t="s">
        <v>1480</v>
      </c>
      <c r="C294" s="1335">
        <v>2730</v>
      </c>
      <c r="D294" s="1335">
        <v>2700</v>
      </c>
      <c r="E294" s="1335">
        <v>2680</v>
      </c>
      <c r="F294" s="1353">
        <v>490</v>
      </c>
      <c r="H294" s="1360"/>
    </row>
    <row r="295" spans="1:8" s="1329" customFormat="1" ht="14.25" customHeight="1" thickBot="1">
      <c r="A295" s="1341" t="s">
        <v>1476</v>
      </c>
      <c r="B295" s="1335" t="s">
        <v>1168</v>
      </c>
      <c r="C295" s="1335">
        <v>2380</v>
      </c>
      <c r="D295" s="1335">
        <v>2350</v>
      </c>
      <c r="E295" s="1335">
        <v>2330</v>
      </c>
      <c r="F295" s="1353">
        <v>530</v>
      </c>
      <c r="H295" s="1360"/>
    </row>
    <row r="296" spans="1:8" s="1329" customFormat="1" ht="14.25" customHeight="1" thickBot="1">
      <c r="A296" s="1341" t="s">
        <v>1476</v>
      </c>
      <c r="B296" s="1335" t="s">
        <v>1180</v>
      </c>
      <c r="C296" s="1335">
        <v>2650</v>
      </c>
      <c r="D296" s="1335">
        <v>2620</v>
      </c>
      <c r="E296" s="1335">
        <v>2590</v>
      </c>
      <c r="F296" s="1353">
        <v>590</v>
      </c>
      <c r="H296" s="1360"/>
    </row>
    <row r="297" spans="1:8" s="1329" customFormat="1" ht="14.25" customHeight="1" thickBot="1">
      <c r="A297" s="1341" t="s">
        <v>1476</v>
      </c>
      <c r="B297" s="1335" t="s">
        <v>1192</v>
      </c>
      <c r="C297" s="1335">
        <v>2700</v>
      </c>
      <c r="D297" s="1335">
        <v>2670</v>
      </c>
      <c r="E297" s="1335">
        <v>2650</v>
      </c>
      <c r="F297" s="1353">
        <v>630</v>
      </c>
      <c r="H297" s="1360"/>
    </row>
    <row r="298" spans="1:8" s="1329" customFormat="1" ht="14.25" customHeight="1" thickBot="1">
      <c r="A298" s="1341" t="s">
        <v>1476</v>
      </c>
      <c r="B298" s="1335" t="s">
        <v>1204</v>
      </c>
      <c r="C298" s="1335">
        <v>2650</v>
      </c>
      <c r="D298" s="1335">
        <v>2620</v>
      </c>
      <c r="E298" s="1335">
        <v>2590</v>
      </c>
      <c r="F298" s="1353">
        <v>640</v>
      </c>
      <c r="H298" s="1360"/>
    </row>
    <row r="299" spans="1:8" s="1329" customFormat="1" ht="14.25" customHeight="1" thickBot="1">
      <c r="A299" s="1341" t="s">
        <v>1476</v>
      </c>
      <c r="B299" s="1335" t="s">
        <v>1217</v>
      </c>
      <c r="C299" s="1335">
        <v>2500</v>
      </c>
      <c r="D299" s="1335">
        <v>2480</v>
      </c>
      <c r="E299" s="1335">
        <v>2460</v>
      </c>
      <c r="F299" s="1362"/>
      <c r="H299" s="1360"/>
    </row>
    <row r="300" spans="1:8" s="1329" customFormat="1" ht="14.25" customHeight="1" thickBot="1">
      <c r="A300" s="1341" t="s">
        <v>1476</v>
      </c>
      <c r="B300" s="1335" t="s">
        <v>1228</v>
      </c>
      <c r="C300" s="1335">
        <v>2760</v>
      </c>
      <c r="D300" s="1335">
        <v>2730</v>
      </c>
      <c r="E300" s="1335">
        <v>2700</v>
      </c>
      <c r="F300" s="1353">
        <v>630</v>
      </c>
      <c r="H300" s="1360"/>
    </row>
    <row r="301" spans="1:8" s="1329" customFormat="1" ht="14.25" customHeight="1" thickBot="1">
      <c r="A301" s="1341" t="s">
        <v>1476</v>
      </c>
      <c r="B301" s="1335" t="s">
        <v>1239</v>
      </c>
      <c r="C301" s="1335">
        <v>2510</v>
      </c>
      <c r="D301" s="1335">
        <v>2480</v>
      </c>
      <c r="E301" s="1335">
        <v>2460</v>
      </c>
      <c r="F301" s="1362"/>
      <c r="H301" s="1360"/>
    </row>
    <row r="302" spans="1:8" s="1329" customFormat="1" ht="14.25" customHeight="1" thickBot="1">
      <c r="A302" s="1341" t="s">
        <v>1476</v>
      </c>
      <c r="B302" s="1335" t="s">
        <v>1250</v>
      </c>
      <c r="C302" s="1335">
        <v>2480</v>
      </c>
      <c r="D302" s="1335">
        <v>2450</v>
      </c>
      <c r="E302" s="1335">
        <v>2420</v>
      </c>
      <c r="F302" s="1353">
        <v>600</v>
      </c>
      <c r="H302" s="1360"/>
    </row>
    <row r="303" spans="1:8" s="1329" customFormat="1" ht="14.25" customHeight="1" thickBot="1">
      <c r="A303" s="1341" t="s">
        <v>1476</v>
      </c>
      <c r="B303" s="1335" t="s">
        <v>1261</v>
      </c>
      <c r="C303" s="1335">
        <v>2270</v>
      </c>
      <c r="D303" s="1335">
        <v>2240</v>
      </c>
      <c r="E303" s="1335">
        <v>2210</v>
      </c>
      <c r="F303" s="1353">
        <v>540</v>
      </c>
      <c r="H303" s="1360"/>
    </row>
    <row r="304" spans="1:8" s="1329" customFormat="1" ht="14.25" customHeight="1" thickBot="1">
      <c r="A304" s="1341" t="s">
        <v>1476</v>
      </c>
      <c r="B304" s="1335" t="s">
        <v>1272</v>
      </c>
      <c r="C304" s="1335">
        <v>2310</v>
      </c>
      <c r="D304" s="1335">
        <v>2290</v>
      </c>
      <c r="E304" s="1335">
        <v>2270</v>
      </c>
      <c r="F304" s="1362"/>
      <c r="H304" s="1360"/>
    </row>
    <row r="305" spans="1:8" s="1329" customFormat="1" ht="14.25" customHeight="1" thickBot="1">
      <c r="A305" s="1341" t="s">
        <v>1476</v>
      </c>
      <c r="B305" s="1335" t="s">
        <v>1283</v>
      </c>
      <c r="C305" s="1335">
        <v>2490</v>
      </c>
      <c r="D305" s="1335">
        <v>2470</v>
      </c>
      <c r="E305" s="1335">
        <v>2440</v>
      </c>
      <c r="F305" s="1353">
        <v>560</v>
      </c>
      <c r="H305" s="1360"/>
    </row>
    <row r="306" spans="1:8" s="1329" customFormat="1" ht="14.25" customHeight="1" thickBot="1">
      <c r="A306" s="1341" t="s">
        <v>1476</v>
      </c>
      <c r="B306" s="1335" t="s">
        <v>1293</v>
      </c>
      <c r="C306" s="1335">
        <v>2420</v>
      </c>
      <c r="D306" s="1335">
        <v>2400</v>
      </c>
      <c r="E306" s="1335">
        <v>2380</v>
      </c>
      <c r="F306" s="1362"/>
      <c r="H306" s="1360"/>
    </row>
    <row r="307" spans="1:8" s="1329" customFormat="1" ht="14.25" customHeight="1" thickBot="1">
      <c r="A307" s="1341" t="s">
        <v>1476</v>
      </c>
      <c r="B307" s="1335" t="s">
        <v>1303</v>
      </c>
      <c r="C307" s="1335">
        <v>2770</v>
      </c>
      <c r="D307" s="1335">
        <v>2740</v>
      </c>
      <c r="E307" s="1335">
        <v>2710</v>
      </c>
      <c r="F307" s="1353">
        <v>650</v>
      </c>
      <c r="H307" s="1360"/>
    </row>
    <row r="308" spans="1:8" s="1329" customFormat="1" ht="14.25" customHeight="1" thickBot="1">
      <c r="A308" s="1341" t="s">
        <v>1476</v>
      </c>
      <c r="B308" s="1335" t="s">
        <v>1313</v>
      </c>
      <c r="C308" s="1335">
        <v>2610</v>
      </c>
      <c r="D308" s="1335">
        <v>2580</v>
      </c>
      <c r="E308" s="1335">
        <v>2550</v>
      </c>
      <c r="F308" s="1353">
        <v>580</v>
      </c>
      <c r="H308" s="1360"/>
    </row>
    <row r="309" spans="1:8" s="1329" customFormat="1" ht="14.25" customHeight="1" thickBot="1">
      <c r="A309" s="1341" t="s">
        <v>1476</v>
      </c>
      <c r="B309" s="1335" t="s">
        <v>1323</v>
      </c>
      <c r="C309" s="1335">
        <v>2690</v>
      </c>
      <c r="D309" s="1335">
        <v>2670</v>
      </c>
      <c r="E309" s="1335">
        <v>2650</v>
      </c>
      <c r="F309" s="1362"/>
      <c r="H309" s="1360"/>
    </row>
    <row r="310" spans="1:8" s="1329" customFormat="1" ht="14.25" customHeight="1" thickBot="1">
      <c r="A310" s="1341" t="s">
        <v>1476</v>
      </c>
      <c r="B310" s="1335" t="s">
        <v>1332</v>
      </c>
      <c r="C310" s="1335">
        <v>2360</v>
      </c>
      <c r="D310" s="1335">
        <v>2330</v>
      </c>
      <c r="E310" s="1335">
        <v>2310</v>
      </c>
      <c r="F310" s="1353">
        <v>560</v>
      </c>
      <c r="H310" s="1360"/>
    </row>
    <row r="311" spans="1:8" s="1329" customFormat="1" ht="14.25" customHeight="1" thickBot="1">
      <c r="A311" s="1341" t="s">
        <v>1476</v>
      </c>
      <c r="B311" s="1335" t="s">
        <v>1341</v>
      </c>
      <c r="C311" s="1335">
        <v>1970</v>
      </c>
      <c r="D311" s="1335">
        <v>1950</v>
      </c>
      <c r="E311" s="1335">
        <v>1920</v>
      </c>
      <c r="F311" s="1353">
        <v>470</v>
      </c>
      <c r="H311" s="1360"/>
    </row>
    <row r="312" spans="1:8" s="1329" customFormat="1" ht="14.25" customHeight="1" thickBot="1">
      <c r="A312" s="1341" t="s">
        <v>1476</v>
      </c>
      <c r="B312" s="1335" t="s">
        <v>1349</v>
      </c>
      <c r="C312" s="1335">
        <v>2230</v>
      </c>
      <c r="D312" s="1335">
        <v>2200</v>
      </c>
      <c r="E312" s="1335">
        <v>2170</v>
      </c>
      <c r="F312" s="1353">
        <v>460</v>
      </c>
      <c r="H312" s="1360"/>
    </row>
    <row r="313" spans="1:8" s="1329" customFormat="1" ht="14.25" customHeight="1" thickBot="1">
      <c r="A313" s="1341" t="s">
        <v>1476</v>
      </c>
      <c r="B313" s="1335" t="s">
        <v>1356</v>
      </c>
      <c r="C313" s="1335">
        <v>2770</v>
      </c>
      <c r="D313" s="1335">
        <v>2740</v>
      </c>
      <c r="E313" s="1335">
        <v>2710</v>
      </c>
      <c r="F313" s="1353">
        <v>610</v>
      </c>
      <c r="H313" s="1360"/>
    </row>
    <row r="314" spans="1:8" s="1329" customFormat="1" ht="14.25" customHeight="1" thickBot="1">
      <c r="A314" s="1341" t="s">
        <v>1476</v>
      </c>
      <c r="B314" s="1335" t="s">
        <v>1363</v>
      </c>
      <c r="C314" s="1335"/>
      <c r="D314" s="1335"/>
      <c r="E314" s="1335"/>
      <c r="F314" s="1353">
        <v>490</v>
      </c>
      <c r="H314" s="1360"/>
    </row>
    <row r="315" spans="1:8" s="1329" customFormat="1" ht="14.25" customHeight="1" thickBot="1">
      <c r="A315" s="1341" t="s">
        <v>1476</v>
      </c>
      <c r="B315" s="1335" t="s">
        <v>1370</v>
      </c>
      <c r="C315" s="1335"/>
      <c r="D315" s="1335"/>
      <c r="E315" s="1335"/>
      <c r="F315" s="1353">
        <v>520</v>
      </c>
      <c r="H315" s="1360"/>
    </row>
    <row r="316" spans="1:8" s="1329" customFormat="1" ht="14.25" customHeight="1" thickBot="1">
      <c r="A316" s="1341" t="s">
        <v>1476</v>
      </c>
      <c r="B316" s="1351" t="s">
        <v>1377</v>
      </c>
      <c r="C316" s="1351"/>
      <c r="D316" s="1351"/>
      <c r="E316" s="1351"/>
      <c r="F316" s="1361">
        <v>460</v>
      </c>
      <c r="H316" s="1360"/>
    </row>
    <row r="317" spans="1:8" s="1329" customFormat="1" ht="14.25" customHeight="1" thickBot="1">
      <c r="A317" s="1341" t="s">
        <v>1263</v>
      </c>
      <c r="B317" s="1342" t="s">
        <v>1481</v>
      </c>
      <c r="C317" s="1342">
        <v>1200</v>
      </c>
      <c r="D317" s="1342">
        <v>1180</v>
      </c>
      <c r="E317" s="1342">
        <v>1160</v>
      </c>
      <c r="F317" s="1343">
        <v>370</v>
      </c>
      <c r="H317" s="1298"/>
    </row>
    <row r="318" spans="1:8" s="1329" customFormat="1" ht="14.25" customHeight="1" thickBot="1">
      <c r="A318" s="1341" t="s">
        <v>1263</v>
      </c>
      <c r="B318" s="1335" t="s">
        <v>1482</v>
      </c>
      <c r="C318" s="1335">
        <v>1090</v>
      </c>
      <c r="D318" s="1335">
        <v>1060</v>
      </c>
      <c r="E318" s="1335">
        <v>1040</v>
      </c>
      <c r="F318" s="1362"/>
      <c r="H318" s="1298"/>
    </row>
    <row r="319" spans="1:8" s="1329" customFormat="1" ht="14.25" customHeight="1" thickBot="1">
      <c r="A319" s="1341" t="s">
        <v>1263</v>
      </c>
      <c r="B319" s="1335" t="s">
        <v>1483</v>
      </c>
      <c r="C319" s="1335">
        <v>1520</v>
      </c>
      <c r="D319" s="1335">
        <v>1470</v>
      </c>
      <c r="E319" s="1335">
        <v>1440</v>
      </c>
      <c r="F319" s="1353">
        <v>370</v>
      </c>
      <c r="H319" s="1298"/>
    </row>
    <row r="320" spans="1:8" s="1329" customFormat="1" ht="14.25" customHeight="1" thickBot="1">
      <c r="A320" s="1341" t="s">
        <v>1263</v>
      </c>
      <c r="B320" s="1335" t="s">
        <v>1157</v>
      </c>
      <c r="C320" s="1335">
        <v>1360</v>
      </c>
      <c r="D320" s="1335">
        <v>1300</v>
      </c>
      <c r="E320" s="1335">
        <v>1270</v>
      </c>
      <c r="F320" s="1362"/>
      <c r="H320" s="1298"/>
    </row>
    <row r="321" spans="1:8" s="1329" customFormat="1" ht="14.25" customHeight="1" thickBot="1">
      <c r="A321" s="1341" t="s">
        <v>1263</v>
      </c>
      <c r="B321" s="1335" t="s">
        <v>1169</v>
      </c>
      <c r="C321" s="1335">
        <v>1750</v>
      </c>
      <c r="D321" s="1335">
        <v>1690</v>
      </c>
      <c r="E321" s="1335">
        <v>1660</v>
      </c>
      <c r="F321" s="1362"/>
      <c r="H321" s="1298"/>
    </row>
    <row r="322" spans="1:8" s="1329" customFormat="1" ht="14.25" customHeight="1" thickBot="1">
      <c r="A322" s="1341" t="s">
        <v>1263</v>
      </c>
      <c r="B322" s="1335" t="s">
        <v>1181</v>
      </c>
      <c r="C322" s="1335">
        <v>1650</v>
      </c>
      <c r="D322" s="1335">
        <v>1610</v>
      </c>
      <c r="E322" s="1335">
        <v>1580</v>
      </c>
      <c r="F322" s="1353">
        <v>500</v>
      </c>
      <c r="H322" s="1298"/>
    </row>
    <row r="323" spans="1:8" s="1329" customFormat="1" ht="14.25" customHeight="1" thickBot="1">
      <c r="A323" s="1341" t="s">
        <v>1263</v>
      </c>
      <c r="B323" s="1335" t="s">
        <v>1193</v>
      </c>
      <c r="C323" s="1335">
        <v>1780</v>
      </c>
      <c r="D323" s="1335">
        <v>1740</v>
      </c>
      <c r="E323" s="1335">
        <v>1720</v>
      </c>
      <c r="F323" s="1362"/>
      <c r="H323" s="1298"/>
    </row>
    <row r="324" spans="1:8" s="1329" customFormat="1" ht="14.25" customHeight="1" thickBot="1">
      <c r="A324" s="1341" t="s">
        <v>1263</v>
      </c>
      <c r="B324" s="1335" t="s">
        <v>1205</v>
      </c>
      <c r="C324" s="1335">
        <v>1650</v>
      </c>
      <c r="D324" s="1335">
        <v>1610</v>
      </c>
      <c r="E324" s="1335">
        <v>1580</v>
      </c>
      <c r="F324" s="1362"/>
      <c r="H324" s="1298"/>
    </row>
    <row r="325" spans="1:8" s="1329" customFormat="1" ht="14.25" customHeight="1" thickBot="1">
      <c r="A325" s="1341" t="s">
        <v>1263</v>
      </c>
      <c r="B325" s="1335" t="s">
        <v>1218</v>
      </c>
      <c r="C325" s="1335">
        <v>1330</v>
      </c>
      <c r="D325" s="1335">
        <v>1270</v>
      </c>
      <c r="E325" s="1335">
        <v>1240</v>
      </c>
      <c r="F325" s="1353">
        <v>430</v>
      </c>
      <c r="H325" s="1298"/>
    </row>
    <row r="326" spans="1:8" s="1329" customFormat="1" ht="14.25" customHeight="1" thickBot="1">
      <c r="A326" s="1341" t="s">
        <v>1263</v>
      </c>
      <c r="B326" s="1335" t="s">
        <v>1229</v>
      </c>
      <c r="C326" s="1335">
        <v>1470</v>
      </c>
      <c r="D326" s="1335">
        <v>1430</v>
      </c>
      <c r="E326" s="1335">
        <v>1400</v>
      </c>
      <c r="F326" s="1362"/>
      <c r="H326" s="1298"/>
    </row>
    <row r="327" spans="1:8" s="1329" customFormat="1" ht="14.25" customHeight="1" thickBot="1">
      <c r="A327" s="1341" t="s">
        <v>1263</v>
      </c>
      <c r="B327" s="1335" t="s">
        <v>1240</v>
      </c>
      <c r="C327" s="1335">
        <v>1420</v>
      </c>
      <c r="D327" s="1335">
        <v>1380</v>
      </c>
      <c r="E327" s="1335">
        <v>1360</v>
      </c>
      <c r="F327" s="1353">
        <v>420</v>
      </c>
      <c r="H327" s="1298"/>
    </row>
    <row r="328" spans="1:8" s="1329" customFormat="1" ht="14.25" customHeight="1" thickBot="1">
      <c r="A328" s="1341" t="s">
        <v>1263</v>
      </c>
      <c r="B328" s="1335" t="s">
        <v>1251</v>
      </c>
      <c r="C328" s="1335">
        <v>1400</v>
      </c>
      <c r="D328" s="1335">
        <v>1360</v>
      </c>
      <c r="E328" s="1335">
        <v>1330</v>
      </c>
      <c r="F328" s="1353">
        <v>460</v>
      </c>
      <c r="H328" s="1298"/>
    </row>
    <row r="329" spans="1:8" s="1329" customFormat="1" ht="14.25" customHeight="1" thickBot="1">
      <c r="A329" s="1341" t="s">
        <v>1263</v>
      </c>
      <c r="B329" s="1335" t="s">
        <v>1262</v>
      </c>
      <c r="C329" s="1335">
        <v>1640</v>
      </c>
      <c r="D329" s="1335">
        <v>1610</v>
      </c>
      <c r="E329" s="1335">
        <v>1580</v>
      </c>
      <c r="F329" s="1353">
        <v>410</v>
      </c>
      <c r="H329" s="1298"/>
    </row>
    <row r="330" spans="1:8" s="1329" customFormat="1" ht="14.25" customHeight="1" thickBot="1">
      <c r="A330" s="1341" t="s">
        <v>1263</v>
      </c>
      <c r="B330" s="1335" t="s">
        <v>1273</v>
      </c>
      <c r="C330" s="1335">
        <v>1260</v>
      </c>
      <c r="D330" s="1335">
        <v>1220</v>
      </c>
      <c r="E330" s="1335">
        <v>1200</v>
      </c>
      <c r="F330" s="1362"/>
      <c r="H330" s="1298"/>
    </row>
    <row r="331" spans="1:8" s="1329" customFormat="1" ht="14.25" customHeight="1" thickBot="1">
      <c r="A331" s="1341" t="s">
        <v>1263</v>
      </c>
      <c r="B331" s="1335" t="s">
        <v>1284</v>
      </c>
      <c r="C331" s="1335">
        <v>1620</v>
      </c>
      <c r="D331" s="1335">
        <v>1560</v>
      </c>
      <c r="E331" s="1335">
        <v>1530</v>
      </c>
      <c r="F331" s="1353">
        <v>490</v>
      </c>
      <c r="H331" s="1298"/>
    </row>
    <row r="332" spans="1:8" s="1329" customFormat="1" ht="14.25" customHeight="1" thickBot="1">
      <c r="A332" s="1341" t="s">
        <v>1263</v>
      </c>
      <c r="B332" s="1335" t="s">
        <v>1294</v>
      </c>
      <c r="C332" s="1335">
        <v>1520</v>
      </c>
      <c r="D332" s="1335">
        <v>1470</v>
      </c>
      <c r="E332" s="1335">
        <v>1440</v>
      </c>
      <c r="F332" s="1353">
        <v>440</v>
      </c>
      <c r="H332" s="1298"/>
    </row>
    <row r="333" spans="1:8" s="1329" customFormat="1" ht="14.25" customHeight="1" thickBot="1">
      <c r="A333" s="1341" t="s">
        <v>1263</v>
      </c>
      <c r="B333" s="1335" t="s">
        <v>1304</v>
      </c>
      <c r="C333" s="1335">
        <v>1370</v>
      </c>
      <c r="D333" s="1335">
        <v>1320</v>
      </c>
      <c r="E333" s="1335">
        <v>1300</v>
      </c>
      <c r="F333" s="1353">
        <v>460</v>
      </c>
      <c r="H333" s="1298"/>
    </row>
    <row r="334" spans="1:8" s="1329" customFormat="1" ht="14.25" customHeight="1" thickBot="1">
      <c r="A334" s="1341" t="s">
        <v>1263</v>
      </c>
      <c r="B334" s="1335" t="s">
        <v>1314</v>
      </c>
      <c r="C334" s="1335">
        <v>1410</v>
      </c>
      <c r="D334" s="1335">
        <v>1340</v>
      </c>
      <c r="E334" s="1335">
        <v>1310</v>
      </c>
      <c r="F334" s="1353">
        <v>410</v>
      </c>
      <c r="H334" s="1298"/>
    </row>
    <row r="335" spans="1:8" s="1329" customFormat="1" ht="14.25" customHeight="1" thickBot="1">
      <c r="A335" s="1341" t="s">
        <v>1263</v>
      </c>
      <c r="B335" s="1335" t="s">
        <v>1324</v>
      </c>
      <c r="C335" s="1335">
        <v>1260</v>
      </c>
      <c r="D335" s="1335">
        <v>1220</v>
      </c>
      <c r="E335" s="1335">
        <v>1200</v>
      </c>
      <c r="F335" s="1362"/>
      <c r="H335" s="1298"/>
    </row>
    <row r="336" spans="1:8" s="1329" customFormat="1" ht="14.25" customHeight="1" thickBot="1">
      <c r="A336" s="1341" t="s">
        <v>1263</v>
      </c>
      <c r="B336" s="1335" t="s">
        <v>1333</v>
      </c>
      <c r="C336" s="1335">
        <v>1160</v>
      </c>
      <c r="D336" s="1335">
        <v>1140</v>
      </c>
      <c r="E336" s="1335">
        <v>1120</v>
      </c>
      <c r="F336" s="1353">
        <v>430</v>
      </c>
      <c r="H336" s="1298"/>
    </row>
    <row r="337" spans="1:8" s="1329" customFormat="1" ht="14.25" customHeight="1" thickBot="1">
      <c r="A337" s="1341" t="s">
        <v>1263</v>
      </c>
      <c r="B337" s="1351" t="s">
        <v>1342</v>
      </c>
      <c r="C337" s="1351"/>
      <c r="D337" s="1351"/>
      <c r="E337" s="1351"/>
      <c r="F337" s="1361">
        <v>380</v>
      </c>
      <c r="H337" s="1298"/>
    </row>
    <row r="338" spans="1:8" s="1329" customFormat="1" ht="14.25" customHeight="1" thickBot="1">
      <c r="A338" s="1341" t="s">
        <v>1274</v>
      </c>
      <c r="B338" s="1342" t="s">
        <v>1484</v>
      </c>
      <c r="C338" s="1342">
        <v>880</v>
      </c>
      <c r="D338" s="1342">
        <v>850</v>
      </c>
      <c r="E338" s="1342">
        <v>830</v>
      </c>
      <c r="F338" s="1364"/>
      <c r="H338" s="1298"/>
    </row>
    <row r="339" spans="1:8" s="1329" customFormat="1" ht="14.25" customHeight="1" thickBot="1">
      <c r="A339" s="1341" t="s">
        <v>1274</v>
      </c>
      <c r="B339" s="1335" t="s">
        <v>1485</v>
      </c>
      <c r="C339" s="1335">
        <v>830</v>
      </c>
      <c r="D339" s="1335">
        <v>800</v>
      </c>
      <c r="E339" s="1335">
        <v>780</v>
      </c>
      <c r="F339" s="1362"/>
      <c r="H339" s="1298"/>
    </row>
    <row r="340" spans="1:8" s="1329" customFormat="1" ht="14.25" customHeight="1" thickBot="1">
      <c r="A340" s="1341" t="s">
        <v>1274</v>
      </c>
      <c r="B340" s="1335" t="s">
        <v>1486</v>
      </c>
      <c r="C340" s="1335">
        <v>980</v>
      </c>
      <c r="D340" s="1335">
        <v>950</v>
      </c>
      <c r="E340" s="1335">
        <v>920</v>
      </c>
      <c r="F340" s="1362"/>
      <c r="H340" s="1298"/>
    </row>
    <row r="341" spans="1:8" s="1329" customFormat="1" ht="14.25" customHeight="1" thickBot="1">
      <c r="A341" s="1341" t="s">
        <v>1274</v>
      </c>
      <c r="B341" s="1335" t="s">
        <v>1487</v>
      </c>
      <c r="C341" s="1335">
        <v>760</v>
      </c>
      <c r="D341" s="1335">
        <v>720</v>
      </c>
      <c r="E341" s="1335">
        <v>690</v>
      </c>
      <c r="F341" s="1353">
        <v>350</v>
      </c>
      <c r="H341" s="1298"/>
    </row>
    <row r="342" spans="1:8" s="1329" customFormat="1" ht="14.25" customHeight="1" thickBot="1">
      <c r="A342" s="1341" t="s">
        <v>1274</v>
      </c>
      <c r="B342" s="1335" t="s">
        <v>1170</v>
      </c>
      <c r="C342" s="1335">
        <v>910</v>
      </c>
      <c r="D342" s="1335">
        <v>870</v>
      </c>
      <c r="E342" s="1335">
        <v>850</v>
      </c>
      <c r="F342" s="1353">
        <v>370</v>
      </c>
      <c r="H342" s="1298"/>
    </row>
    <row r="343" spans="1:8" s="1329" customFormat="1" ht="14.25" customHeight="1" thickBot="1">
      <c r="A343" s="1341" t="s">
        <v>1274</v>
      </c>
      <c r="B343" s="1335" t="s">
        <v>1182</v>
      </c>
      <c r="C343" s="1335">
        <v>800</v>
      </c>
      <c r="D343" s="1335">
        <v>760</v>
      </c>
      <c r="E343" s="1335">
        <v>730</v>
      </c>
      <c r="F343" s="1353">
        <v>340</v>
      </c>
      <c r="H343" s="1298"/>
    </row>
    <row r="344" spans="1:8" s="1329" customFormat="1" ht="14.25" customHeight="1" thickBot="1">
      <c r="A344" s="1341" t="s">
        <v>1274</v>
      </c>
      <c r="B344" s="1351" t="s">
        <v>1194</v>
      </c>
      <c r="C344" s="1351">
        <v>720</v>
      </c>
      <c r="D344" s="1351">
        <v>690</v>
      </c>
      <c r="E344" s="1351">
        <v>660</v>
      </c>
      <c r="F344" s="1361">
        <v>300</v>
      </c>
      <c r="H344" s="1298"/>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4" customWidth="1"/>
    <col min="2" max="9" width="8.25" style="1388" customWidth="1"/>
    <col min="10" max="13" width="8.25" style="1304"/>
    <col min="14" max="14" width="10" style="1304" customWidth="1"/>
    <col min="15" max="16" width="8.25" style="1304"/>
    <col min="17" max="17" width="34.125" style="1304" customWidth="1"/>
    <col min="18" max="18" width="8.25" style="1304" customWidth="1"/>
    <col min="19" max="19" width="8.25" style="1304"/>
    <col min="20" max="20" width="11.625" style="1304" customWidth="1"/>
    <col min="21" max="16384" width="8.25" style="1304"/>
  </cols>
  <sheetData>
    <row r="1" spans="1:13" ht="19.5" customHeight="1" thickBot="1">
      <c r="A1" s="1366" t="s">
        <v>1488</v>
      </c>
      <c r="B1" s="1332" t="s">
        <v>1091</v>
      </c>
      <c r="C1" s="1332" t="s">
        <v>1092</v>
      </c>
      <c r="D1" s="1332" t="s">
        <v>1093</v>
      </c>
      <c r="E1" s="1332" t="s">
        <v>1094</v>
      </c>
      <c r="F1" s="1332" t="s">
        <v>1095</v>
      </c>
      <c r="G1" s="1332" t="s">
        <v>1096</v>
      </c>
      <c r="H1" s="1332" t="s">
        <v>1097</v>
      </c>
      <c r="I1" s="1332" t="s">
        <v>1098</v>
      </c>
      <c r="J1" s="1332" t="s">
        <v>1099</v>
      </c>
      <c r="K1" s="1332" t="s">
        <v>1100</v>
      </c>
      <c r="L1" s="1332" t="s">
        <v>1101</v>
      </c>
      <c r="M1" s="1333" t="s">
        <v>1102</v>
      </c>
    </row>
    <row r="2" spans="1:13" ht="19.5" customHeight="1">
      <c r="A2" s="1367" t="s">
        <v>1117</v>
      </c>
      <c r="B2" s="1368">
        <v>3.5</v>
      </c>
      <c r="C2" s="1368">
        <v>3.5</v>
      </c>
      <c r="D2" s="1369">
        <v>2.5</v>
      </c>
      <c r="E2" s="1369">
        <v>2.5</v>
      </c>
      <c r="F2" s="1369">
        <v>2.5</v>
      </c>
      <c r="G2" s="1369">
        <v>2.5</v>
      </c>
      <c r="H2" s="1369">
        <v>2.5</v>
      </c>
      <c r="I2" s="1368">
        <v>2</v>
      </c>
      <c r="J2" s="1368">
        <v>2</v>
      </c>
      <c r="K2" s="1368">
        <v>2</v>
      </c>
      <c r="L2" s="1368">
        <v>2</v>
      </c>
      <c r="M2" s="1370">
        <v>2</v>
      </c>
    </row>
    <row r="3" spans="1:13" ht="19.5" customHeight="1">
      <c r="A3" s="1371" t="s">
        <v>1118</v>
      </c>
      <c r="B3" s="1372">
        <v>3.5</v>
      </c>
      <c r="C3" s="1372">
        <v>3.5</v>
      </c>
      <c r="D3" s="1373">
        <v>2.5</v>
      </c>
      <c r="E3" s="1373">
        <v>2.5</v>
      </c>
      <c r="F3" s="1373">
        <v>2.5</v>
      </c>
      <c r="G3" s="1373">
        <v>2.5</v>
      </c>
      <c r="H3" s="1373">
        <v>2.5</v>
      </c>
      <c r="I3" s="1372">
        <v>2</v>
      </c>
      <c r="J3" s="1372">
        <v>2</v>
      </c>
      <c r="K3" s="1372">
        <v>2</v>
      </c>
      <c r="L3" s="1372">
        <v>2</v>
      </c>
      <c r="M3" s="1374">
        <v>2</v>
      </c>
    </row>
    <row r="4" spans="1:13" ht="19.5" customHeight="1">
      <c r="A4" s="1371" t="s">
        <v>1771</v>
      </c>
      <c r="B4" s="1373">
        <v>2.5</v>
      </c>
      <c r="C4" s="1373">
        <v>2.5</v>
      </c>
      <c r="D4" s="1373">
        <v>2.5</v>
      </c>
      <c r="E4" s="1373">
        <v>2.5</v>
      </c>
      <c r="F4" s="1373">
        <v>2.5</v>
      </c>
      <c r="G4" s="1373">
        <v>2.5</v>
      </c>
      <c r="H4" s="1373">
        <v>2.5</v>
      </c>
      <c r="I4" s="1372">
        <v>1.5</v>
      </c>
      <c r="J4" s="1372">
        <v>1.5</v>
      </c>
      <c r="K4" s="1372">
        <v>1.5</v>
      </c>
      <c r="L4" s="1372">
        <v>1.5</v>
      </c>
      <c r="M4" s="1374">
        <v>1.5</v>
      </c>
    </row>
    <row r="5" spans="1:13" ht="19.5" customHeight="1" thickBot="1">
      <c r="A5" s="1375" t="s">
        <v>1120</v>
      </c>
      <c r="B5" s="1376">
        <v>1.5</v>
      </c>
      <c r="C5" s="1376">
        <v>1.5</v>
      </c>
      <c r="D5" s="1376">
        <v>1.5</v>
      </c>
      <c r="E5" s="1376">
        <v>1.5</v>
      </c>
      <c r="F5" s="1376">
        <v>1.5</v>
      </c>
      <c r="G5" s="1377">
        <v>1.2</v>
      </c>
      <c r="H5" s="1377">
        <v>1.2</v>
      </c>
      <c r="I5" s="1377">
        <v>1</v>
      </c>
      <c r="J5" s="1377">
        <v>1</v>
      </c>
      <c r="K5" s="1377">
        <v>1</v>
      </c>
      <c r="L5" s="1377">
        <v>1</v>
      </c>
      <c r="M5" s="1378">
        <v>1</v>
      </c>
    </row>
    <row r="6" spans="1:13" ht="19.5" customHeight="1">
      <c r="A6" s="1379" t="s">
        <v>1489</v>
      </c>
      <c r="B6" s="1380">
        <v>80</v>
      </c>
      <c r="C6" s="1380">
        <v>80</v>
      </c>
      <c r="D6" s="1380">
        <v>65</v>
      </c>
      <c r="E6" s="1380">
        <v>65</v>
      </c>
      <c r="F6" s="1380">
        <v>65</v>
      </c>
      <c r="G6" s="1380">
        <v>65</v>
      </c>
      <c r="H6" s="1380">
        <v>65</v>
      </c>
      <c r="I6" s="1380">
        <v>50</v>
      </c>
      <c r="J6" s="1380">
        <v>50</v>
      </c>
      <c r="K6" s="1380">
        <v>50</v>
      </c>
      <c r="L6" s="1380">
        <v>50</v>
      </c>
      <c r="M6" s="1381">
        <v>50</v>
      </c>
    </row>
    <row r="7" spans="1:13" ht="19.5" customHeight="1">
      <c r="A7" s="1305" t="s">
        <v>1490</v>
      </c>
      <c r="B7" s="1306">
        <v>70</v>
      </c>
      <c r="C7" s="1306">
        <v>70</v>
      </c>
      <c r="D7" s="1306">
        <v>55</v>
      </c>
      <c r="E7" s="1306">
        <v>55</v>
      </c>
      <c r="F7" s="1306">
        <v>55</v>
      </c>
      <c r="G7" s="1306">
        <v>55</v>
      </c>
      <c r="H7" s="1306">
        <v>55</v>
      </c>
      <c r="I7" s="1306">
        <v>40</v>
      </c>
      <c r="J7" s="1306">
        <v>40</v>
      </c>
      <c r="K7" s="1306">
        <v>40</v>
      </c>
      <c r="L7" s="1306">
        <v>40</v>
      </c>
      <c r="M7" s="1382">
        <v>40</v>
      </c>
    </row>
    <row r="8" spans="1:13" ht="19.5" customHeight="1">
      <c r="A8" s="1305" t="s">
        <v>1491</v>
      </c>
      <c r="B8" s="1306">
        <v>20</v>
      </c>
      <c r="C8" s="1306">
        <v>20</v>
      </c>
      <c r="D8" s="1306">
        <v>15</v>
      </c>
      <c r="E8" s="1306">
        <v>15</v>
      </c>
      <c r="F8" s="1306">
        <v>15</v>
      </c>
      <c r="G8" s="1306">
        <v>15</v>
      </c>
      <c r="H8" s="1306">
        <v>15</v>
      </c>
      <c r="I8" s="1306">
        <v>10</v>
      </c>
      <c r="J8" s="1306">
        <v>10</v>
      </c>
      <c r="K8" s="1306">
        <v>10</v>
      </c>
      <c r="L8" s="1306">
        <v>10</v>
      </c>
      <c r="M8" s="1382">
        <v>10</v>
      </c>
    </row>
    <row r="9" spans="1:13" ht="19.5" customHeight="1">
      <c r="A9" s="1305" t="s">
        <v>1492</v>
      </c>
      <c r="B9" s="1306">
        <v>30</v>
      </c>
      <c r="C9" s="1306">
        <v>30</v>
      </c>
      <c r="D9" s="1306">
        <v>25</v>
      </c>
      <c r="E9" s="1306">
        <v>25</v>
      </c>
      <c r="F9" s="1306">
        <v>25</v>
      </c>
      <c r="G9" s="1306">
        <v>25</v>
      </c>
      <c r="H9" s="1306">
        <v>25</v>
      </c>
      <c r="I9" s="1306">
        <v>20</v>
      </c>
      <c r="J9" s="1306">
        <v>20</v>
      </c>
      <c r="K9" s="1306">
        <v>20</v>
      </c>
      <c r="L9" s="1306">
        <v>20</v>
      </c>
      <c r="M9" s="1382">
        <v>20</v>
      </c>
    </row>
    <row r="10" spans="1:13" ht="19.5" customHeight="1">
      <c r="A10" s="1305" t="s">
        <v>1493</v>
      </c>
      <c r="B10" s="1306">
        <v>45</v>
      </c>
      <c r="C10" s="1306">
        <v>45</v>
      </c>
      <c r="D10" s="1306">
        <v>35</v>
      </c>
      <c r="E10" s="1306">
        <v>35</v>
      </c>
      <c r="F10" s="1306">
        <v>35</v>
      </c>
      <c r="G10" s="1306">
        <v>35</v>
      </c>
      <c r="H10" s="1306">
        <v>35</v>
      </c>
      <c r="I10" s="1306">
        <v>25</v>
      </c>
      <c r="J10" s="1306">
        <v>25</v>
      </c>
      <c r="K10" s="1306">
        <v>25</v>
      </c>
      <c r="L10" s="1306">
        <v>25</v>
      </c>
      <c r="M10" s="1382">
        <v>25</v>
      </c>
    </row>
    <row r="11" spans="1:13" ht="19.5" customHeight="1">
      <c r="A11" s="1305" t="s">
        <v>1494</v>
      </c>
      <c r="B11" s="1306">
        <v>60</v>
      </c>
      <c r="C11" s="1306">
        <v>60</v>
      </c>
      <c r="D11" s="1306">
        <v>50</v>
      </c>
      <c r="E11" s="1306">
        <v>50</v>
      </c>
      <c r="F11" s="1306">
        <v>50</v>
      </c>
      <c r="G11" s="1306">
        <v>50</v>
      </c>
      <c r="H11" s="1306">
        <v>50</v>
      </c>
      <c r="I11" s="1306">
        <v>40</v>
      </c>
      <c r="J11" s="1306">
        <v>40</v>
      </c>
      <c r="K11" s="1306">
        <v>40</v>
      </c>
      <c r="L11" s="1306">
        <v>40</v>
      </c>
      <c r="M11" s="1382">
        <v>40</v>
      </c>
    </row>
    <row r="12" spans="1:13" ht="19.5" customHeight="1">
      <c r="A12" s="1305" t="s">
        <v>1495</v>
      </c>
      <c r="B12" s="1306">
        <v>50</v>
      </c>
      <c r="C12" s="1306">
        <v>50</v>
      </c>
      <c r="D12" s="1306">
        <v>40</v>
      </c>
      <c r="E12" s="1306">
        <v>40</v>
      </c>
      <c r="F12" s="1306">
        <v>40</v>
      </c>
      <c r="G12" s="1306">
        <v>40</v>
      </c>
      <c r="H12" s="1306">
        <v>40</v>
      </c>
      <c r="I12" s="1306">
        <v>30</v>
      </c>
      <c r="J12" s="1306">
        <v>30</v>
      </c>
      <c r="K12" s="1306">
        <v>30</v>
      </c>
      <c r="L12" s="1306">
        <v>30</v>
      </c>
      <c r="M12" s="1382">
        <v>30</v>
      </c>
    </row>
    <row r="13" spans="1:13" ht="19.5" customHeight="1">
      <c r="A13" s="1383" t="s">
        <v>1496</v>
      </c>
      <c r="B13" s="1319">
        <v>20</v>
      </c>
      <c r="C13" s="1319">
        <v>20</v>
      </c>
      <c r="D13" s="1319">
        <v>15</v>
      </c>
      <c r="E13" s="1319">
        <v>15</v>
      </c>
      <c r="F13" s="1319">
        <v>15</v>
      </c>
      <c r="G13" s="1319">
        <v>15</v>
      </c>
      <c r="H13" s="1319">
        <v>15</v>
      </c>
      <c r="I13" s="1319">
        <v>10</v>
      </c>
      <c r="J13" s="1319">
        <v>10</v>
      </c>
      <c r="K13" s="1319">
        <v>10</v>
      </c>
      <c r="L13" s="1319">
        <v>10</v>
      </c>
      <c r="M13" s="1384">
        <v>10</v>
      </c>
    </row>
    <row r="14" spans="1:13" ht="19.5" customHeight="1">
      <c r="A14" s="1306" t="s">
        <v>1497</v>
      </c>
      <c r="B14" s="1385">
        <v>0</v>
      </c>
      <c r="C14" s="1385">
        <v>0</v>
      </c>
      <c r="D14" s="1385">
        <v>0</v>
      </c>
      <c r="E14" s="1385">
        <v>0</v>
      </c>
      <c r="F14" s="1385">
        <v>0</v>
      </c>
      <c r="G14" s="1385">
        <v>0</v>
      </c>
      <c r="H14" s="1385">
        <v>0</v>
      </c>
      <c r="I14" s="1385">
        <v>0</v>
      </c>
      <c r="J14" s="1385">
        <v>0</v>
      </c>
      <c r="K14" s="1385">
        <v>0</v>
      </c>
      <c r="L14" s="1385">
        <v>0</v>
      </c>
      <c r="M14" s="1385">
        <v>0</v>
      </c>
    </row>
    <row r="16" spans="1:13" ht="19.5" customHeight="1">
      <c r="A16" s="1386" t="s">
        <v>1498</v>
      </c>
      <c r="B16" s="1386"/>
      <c r="C16" s="1387"/>
      <c r="D16" s="1387"/>
      <c r="E16" s="1386"/>
      <c r="F16" s="1387"/>
      <c r="G16" s="1387"/>
    </row>
    <row r="17" spans="1:9" ht="19.5" customHeight="1">
      <c r="A17" s="1306" t="s">
        <v>1499</v>
      </c>
      <c r="B17" s="1389" t="s">
        <v>1500</v>
      </c>
      <c r="C17" s="1574" t="s">
        <v>1799</v>
      </c>
      <c r="D17" s="1390"/>
      <c r="E17" s="1306" t="s">
        <v>1501</v>
      </c>
      <c r="F17" s="1391"/>
      <c r="G17" s="1391"/>
    </row>
    <row r="18" spans="1:9" s="1397" customFormat="1" ht="19.5" customHeight="1">
      <c r="A18" s="3500" t="s">
        <v>1117</v>
      </c>
      <c r="B18" s="1392" t="s">
        <v>1502</v>
      </c>
      <c r="C18" s="1393" t="s">
        <v>1503</v>
      </c>
      <c r="D18" s="1394"/>
      <c r="E18" s="1392">
        <v>1</v>
      </c>
      <c r="F18" s="1395" t="s">
        <v>1504</v>
      </c>
      <c r="G18" s="1396"/>
      <c r="H18" s="1388"/>
      <c r="I18" s="1388"/>
    </row>
    <row r="19" spans="1:9" s="1397" customFormat="1" ht="19.5" customHeight="1">
      <c r="A19" s="3500"/>
      <c r="B19" s="3500" t="s">
        <v>1505</v>
      </c>
      <c r="C19" s="1393" t="s">
        <v>1506</v>
      </c>
      <c r="D19" s="1394"/>
      <c r="E19" s="1392">
        <v>0.9</v>
      </c>
      <c r="F19" s="1395" t="s">
        <v>1507</v>
      </c>
      <c r="G19" s="1396"/>
      <c r="H19" s="1388"/>
      <c r="I19" s="1388"/>
    </row>
    <row r="20" spans="1:9" s="1397" customFormat="1" ht="19.5" customHeight="1">
      <c r="A20" s="3500"/>
      <c r="B20" s="3500"/>
      <c r="C20" s="1393" t="s">
        <v>1508</v>
      </c>
      <c r="D20" s="1394"/>
      <c r="E20" s="1392">
        <v>1.1000000000000001</v>
      </c>
      <c r="F20" s="1395" t="s">
        <v>1509</v>
      </c>
      <c r="G20" s="1396"/>
      <c r="H20" s="1388"/>
      <c r="I20" s="1388"/>
    </row>
    <row r="21" spans="1:9" s="1397" customFormat="1" ht="19.5" customHeight="1">
      <c r="A21" s="3500"/>
      <c r="B21" s="3500"/>
      <c r="C21" s="1393" t="s">
        <v>1510</v>
      </c>
      <c r="D21" s="1394"/>
      <c r="E21" s="1392">
        <v>0.8</v>
      </c>
      <c r="F21" s="1395" t="s">
        <v>1511</v>
      </c>
      <c r="G21" s="1396"/>
      <c r="H21" s="1388"/>
      <c r="I21" s="1388"/>
    </row>
    <row r="22" spans="1:9" s="1397" customFormat="1" ht="19.5" customHeight="1">
      <c r="A22" s="3500"/>
      <c r="B22" s="3500"/>
      <c r="C22" s="1393" t="s">
        <v>1512</v>
      </c>
      <c r="D22" s="1394"/>
      <c r="E22" s="1392">
        <v>0.5</v>
      </c>
      <c r="F22" s="1395"/>
      <c r="G22" s="1396"/>
      <c r="H22" s="1388"/>
      <c r="I22" s="1388"/>
    </row>
    <row r="23" spans="1:9" s="1397" customFormat="1" ht="19.5" customHeight="1">
      <c r="A23" s="3500" t="s">
        <v>1118</v>
      </c>
      <c r="B23" s="1392" t="s">
        <v>1502</v>
      </c>
      <c r="C23" s="1393" t="s">
        <v>1513</v>
      </c>
      <c r="D23" s="1394"/>
      <c r="E23" s="1392">
        <v>1</v>
      </c>
      <c r="F23" s="1395" t="s">
        <v>1514</v>
      </c>
      <c r="G23" s="1396"/>
      <c r="H23" s="1388"/>
      <c r="I23" s="1388"/>
    </row>
    <row r="24" spans="1:9" s="1397" customFormat="1" ht="19.5" customHeight="1">
      <c r="A24" s="3500"/>
      <c r="B24" s="3500" t="s">
        <v>1505</v>
      </c>
      <c r="C24" s="1393" t="s">
        <v>1515</v>
      </c>
      <c r="D24" s="1394"/>
      <c r="E24" s="1392">
        <v>0.5</v>
      </c>
      <c r="F24" s="1395"/>
      <c r="G24" s="1396"/>
      <c r="H24" s="1388"/>
      <c r="I24" s="1388"/>
    </row>
    <row r="25" spans="1:9" s="1397" customFormat="1" ht="19.5" customHeight="1">
      <c r="A25" s="3500"/>
      <c r="B25" s="3500"/>
      <c r="C25" s="1393" t="s">
        <v>1516</v>
      </c>
      <c r="D25" s="1394"/>
      <c r="E25" s="1392">
        <v>1.1000000000000001</v>
      </c>
      <c r="F25" s="1395"/>
      <c r="G25" s="1396"/>
      <c r="H25" s="1388"/>
      <c r="I25" s="1388"/>
    </row>
    <row r="26" spans="1:9" s="1397" customFormat="1" ht="19.5" customHeight="1">
      <c r="A26" s="3500"/>
      <c r="B26" s="3500"/>
      <c r="C26" s="1393" t="s">
        <v>1517</v>
      </c>
      <c r="D26" s="1394"/>
      <c r="E26" s="1392">
        <v>1.1000000000000001</v>
      </c>
      <c r="F26" s="1395"/>
      <c r="G26" s="1396"/>
      <c r="H26" s="1388"/>
      <c r="I26" s="1388"/>
    </row>
    <row r="27" spans="1:9" s="1397" customFormat="1" ht="19.5" customHeight="1">
      <c r="A27" s="3500"/>
      <c r="B27" s="3500"/>
      <c r="C27" s="1393" t="s">
        <v>1518</v>
      </c>
      <c r="D27" s="1394"/>
      <c r="E27" s="1392">
        <v>0.9</v>
      </c>
      <c r="F27" s="1395" t="s">
        <v>1519</v>
      </c>
      <c r="G27" s="1396"/>
      <c r="H27" s="1388"/>
      <c r="I27" s="1388"/>
    </row>
    <row r="28" spans="1:9" s="1397" customFormat="1" ht="19.5" customHeight="1">
      <c r="A28" s="3500"/>
      <c r="B28" s="3500"/>
      <c r="C28" s="1393" t="s">
        <v>1520</v>
      </c>
      <c r="D28" s="1394"/>
      <c r="E28" s="1392">
        <v>0.9</v>
      </c>
      <c r="F28" s="1395" t="s">
        <v>1521</v>
      </c>
      <c r="G28" s="1396"/>
      <c r="H28" s="1388"/>
      <c r="I28" s="1388"/>
    </row>
    <row r="29" spans="1:9" s="1397" customFormat="1" ht="19.5" customHeight="1">
      <c r="A29" s="3500"/>
      <c r="B29" s="3500"/>
      <c r="C29" s="1393" t="s">
        <v>1522</v>
      </c>
      <c r="D29" s="1394"/>
      <c r="E29" s="1392">
        <v>0.9</v>
      </c>
      <c r="F29" s="1395" t="s">
        <v>1523</v>
      </c>
      <c r="G29" s="1396"/>
      <c r="H29" s="1388"/>
      <c r="I29" s="1388"/>
    </row>
    <row r="30" spans="1:9" s="1397" customFormat="1" ht="19.5" customHeight="1">
      <c r="A30" s="3500"/>
      <c r="B30" s="3500"/>
      <c r="C30" s="1393" t="s">
        <v>1524</v>
      </c>
      <c r="D30" s="1394"/>
      <c r="E30" s="1392">
        <v>0.9</v>
      </c>
      <c r="F30" s="1395" t="s">
        <v>1525</v>
      </c>
      <c r="G30" s="1396"/>
      <c r="H30" s="1388"/>
      <c r="I30" s="1388"/>
    </row>
    <row r="31" spans="1:9" s="1397" customFormat="1" ht="19.5" customHeight="1">
      <c r="A31" s="3500"/>
      <c r="B31" s="3500"/>
      <c r="C31" s="1393" t="s">
        <v>1526</v>
      </c>
      <c r="D31" s="1394"/>
      <c r="E31" s="1392">
        <v>0.8</v>
      </c>
      <c r="F31" s="1395" t="s">
        <v>1527</v>
      </c>
      <c r="G31" s="1396"/>
      <c r="H31" s="1388"/>
      <c r="I31" s="1388"/>
    </row>
    <row r="32" spans="1:9" s="1397" customFormat="1" ht="19.5" customHeight="1">
      <c r="A32" s="3500"/>
      <c r="B32" s="3500"/>
      <c r="C32" s="1393" t="s">
        <v>1528</v>
      </c>
      <c r="D32" s="1394"/>
      <c r="E32" s="1392">
        <v>0.8</v>
      </c>
      <c r="F32" s="1395" t="s">
        <v>1529</v>
      </c>
      <c r="G32" s="1396"/>
      <c r="H32" s="1388"/>
      <c r="I32" s="1388"/>
    </row>
    <row r="33" spans="1:9" s="1397" customFormat="1" ht="19.5" customHeight="1">
      <c r="A33" s="3500" t="s">
        <v>1119</v>
      </c>
      <c r="B33" s="1392" t="s">
        <v>1502</v>
      </c>
      <c r="C33" s="1393" t="s">
        <v>1530</v>
      </c>
      <c r="D33" s="1394"/>
      <c r="E33" s="1392">
        <v>1</v>
      </c>
      <c r="F33" s="1395" t="s">
        <v>1531</v>
      </c>
      <c r="G33" s="1396"/>
      <c r="H33" s="1388"/>
      <c r="I33" s="1388"/>
    </row>
    <row r="34" spans="1:9" s="1397" customFormat="1" ht="19.5" customHeight="1">
      <c r="A34" s="3500"/>
      <c r="B34" s="1392" t="s">
        <v>1505</v>
      </c>
      <c r="C34" s="1393" t="s">
        <v>1532</v>
      </c>
      <c r="D34" s="1394"/>
      <c r="E34" s="1392">
        <v>1.5</v>
      </c>
      <c r="F34" s="1395" t="s">
        <v>1533</v>
      </c>
      <c r="G34" s="1396"/>
      <c r="H34" s="1388"/>
      <c r="I34" s="1388"/>
    </row>
    <row r="35" spans="1:9" s="1397" customFormat="1" ht="19.5" customHeight="1">
      <c r="A35" s="3500" t="s">
        <v>1120</v>
      </c>
      <c r="B35" s="1392" t="s">
        <v>1502</v>
      </c>
      <c r="C35" s="1393" t="s">
        <v>1534</v>
      </c>
      <c r="D35" s="1394"/>
      <c r="E35" s="1392">
        <v>1</v>
      </c>
      <c r="F35" s="1395" t="s">
        <v>1535</v>
      </c>
      <c r="G35" s="1396"/>
      <c r="H35" s="1388"/>
      <c r="I35" s="1388"/>
    </row>
    <row r="36" spans="1:9" s="1397" customFormat="1" ht="19.5" customHeight="1">
      <c r="A36" s="3500"/>
      <c r="B36" s="3500" t="s">
        <v>1505</v>
      </c>
      <c r="C36" s="1393" t="s">
        <v>1536</v>
      </c>
      <c r="D36" s="1394"/>
      <c r="E36" s="1392">
        <v>1</v>
      </c>
      <c r="F36" s="1395" t="s">
        <v>1537</v>
      </c>
      <c r="G36" s="1396"/>
      <c r="H36" s="1388"/>
      <c r="I36" s="1388"/>
    </row>
    <row r="37" spans="1:9" s="1397" customFormat="1" ht="19.5" customHeight="1">
      <c r="A37" s="3500"/>
      <c r="B37" s="3500"/>
      <c r="C37" s="1393" t="s">
        <v>1538</v>
      </c>
      <c r="D37" s="1394"/>
      <c r="E37" s="1392">
        <v>1.5</v>
      </c>
      <c r="F37" s="1395" t="s">
        <v>1539</v>
      </c>
      <c r="G37" s="1396"/>
      <c r="H37" s="1388"/>
      <c r="I37" s="1388"/>
    </row>
    <row r="38" spans="1:9" s="1397" customFormat="1" ht="19.5" customHeight="1">
      <c r="A38" s="3500"/>
      <c r="B38" s="3500"/>
      <c r="C38" s="1393" t="s">
        <v>1540</v>
      </c>
      <c r="D38" s="1394"/>
      <c r="E38" s="1392">
        <v>1</v>
      </c>
      <c r="F38" s="1395" t="s">
        <v>1541</v>
      </c>
      <c r="G38" s="1396"/>
      <c r="H38" s="1388"/>
      <c r="I38" s="1388"/>
    </row>
    <row r="39" spans="1:9" s="1397" customFormat="1" ht="19.5" customHeight="1">
      <c r="A39" s="3500"/>
      <c r="B39" s="3500"/>
      <c r="C39" s="1393" t="s">
        <v>1542</v>
      </c>
      <c r="D39" s="1394"/>
      <c r="E39" s="1392">
        <v>1</v>
      </c>
      <c r="F39" s="1395" t="s">
        <v>1543</v>
      </c>
      <c r="G39" s="1396"/>
      <c r="H39" s="1388"/>
      <c r="I39" s="1388"/>
    </row>
    <row r="40" spans="1:9" s="1397" customFormat="1" ht="19.5" customHeight="1">
      <c r="A40" s="1398" t="s">
        <v>1544</v>
      </c>
      <c r="B40" s="1398"/>
      <c r="C40" s="1398"/>
      <c r="D40" s="1398"/>
      <c r="E40" s="1398"/>
      <c r="F40" s="1399"/>
      <c r="G40" s="1399"/>
      <c r="H40" s="1388"/>
      <c r="I40" s="1388"/>
    </row>
    <row r="42" spans="1:9" ht="19.5" customHeight="1">
      <c r="A42" s="1400"/>
      <c r="B42" s="1306" t="s">
        <v>1545</v>
      </c>
      <c r="C42" s="1306" t="s">
        <v>1545</v>
      </c>
      <c r="D42" s="1306" t="s">
        <v>1545</v>
      </c>
      <c r="E42" s="1319" t="s">
        <v>1545</v>
      </c>
      <c r="F42" s="1319" t="s">
        <v>1545</v>
      </c>
      <c r="G42" s="1319" t="s">
        <v>1546</v>
      </c>
      <c r="H42" s="1319" t="s">
        <v>1545</v>
      </c>
    </row>
    <row r="43" spans="1:9" ht="19.5" customHeight="1">
      <c r="A43" s="1401"/>
      <c r="B43" s="1319" t="s">
        <v>1117</v>
      </c>
      <c r="C43" s="1319" t="s">
        <v>1117</v>
      </c>
      <c r="D43" s="1319" t="s">
        <v>1117</v>
      </c>
      <c r="E43" s="1319" t="s">
        <v>1117</v>
      </c>
      <c r="F43" s="1306" t="s">
        <v>1118</v>
      </c>
      <c r="G43" s="1306" t="s">
        <v>1120</v>
      </c>
      <c r="H43" s="1306" t="s">
        <v>1547</v>
      </c>
    </row>
    <row r="44" spans="1:9" ht="19.5" customHeight="1">
      <c r="A44" s="1402"/>
      <c r="B44" s="1306">
        <v>1</v>
      </c>
      <c r="C44" s="1306">
        <v>2</v>
      </c>
      <c r="D44" s="1306">
        <v>3</v>
      </c>
      <c r="E44" s="1319">
        <v>4</v>
      </c>
      <c r="F44" s="1390" t="s">
        <v>1548</v>
      </c>
      <c r="G44" s="1390" t="s">
        <v>1548</v>
      </c>
      <c r="H44" s="1390" t="s">
        <v>1548</v>
      </c>
    </row>
    <row r="45" spans="1:9" ht="19.5" customHeight="1">
      <c r="A45" s="1403" t="s">
        <v>1091</v>
      </c>
      <c r="B45" s="1306">
        <v>0.8</v>
      </c>
      <c r="C45" s="1306">
        <v>0.5</v>
      </c>
      <c r="D45" s="1306">
        <v>0.36</v>
      </c>
      <c r="E45" s="1306">
        <v>0.3</v>
      </c>
      <c r="F45" s="1390">
        <v>0.3</v>
      </c>
      <c r="G45" s="1306">
        <v>0.3</v>
      </c>
      <c r="H45" s="1306">
        <v>0.25</v>
      </c>
    </row>
    <row r="46" spans="1:9" ht="19.5" customHeight="1">
      <c r="A46" s="1403" t="s">
        <v>1092</v>
      </c>
      <c r="B46" s="1306">
        <v>0.8</v>
      </c>
      <c r="C46" s="1306">
        <v>0.5</v>
      </c>
      <c r="D46" s="1306">
        <v>0.36</v>
      </c>
      <c r="E46" s="1306">
        <v>0.3</v>
      </c>
      <c r="F46" s="1306">
        <v>0.3</v>
      </c>
      <c r="G46" s="1306">
        <v>0.3</v>
      </c>
      <c r="H46" s="1306">
        <v>0.25</v>
      </c>
    </row>
    <row r="47" spans="1:9" ht="19.5" customHeight="1">
      <c r="A47" s="1403" t="s">
        <v>1093</v>
      </c>
      <c r="B47" s="1306">
        <v>0.7</v>
      </c>
      <c r="C47" s="1306">
        <v>0.4</v>
      </c>
      <c r="D47" s="1306">
        <v>0.28000000000000003</v>
      </c>
      <c r="E47" s="1306">
        <v>0.25</v>
      </c>
      <c r="F47" s="1306">
        <v>0.25</v>
      </c>
      <c r="G47" s="1306">
        <v>0.25</v>
      </c>
      <c r="H47" s="1306">
        <v>0.2</v>
      </c>
    </row>
    <row r="48" spans="1:9" ht="19.5" customHeight="1">
      <c r="A48" s="1403" t="s">
        <v>1094</v>
      </c>
      <c r="B48" s="1306">
        <v>0.7</v>
      </c>
      <c r="C48" s="1306">
        <v>0.4</v>
      </c>
      <c r="D48" s="1306">
        <v>0.28000000000000003</v>
      </c>
      <c r="E48" s="1306">
        <v>0.25</v>
      </c>
      <c r="F48" s="1306">
        <v>0.25</v>
      </c>
      <c r="G48" s="1306">
        <v>0.25</v>
      </c>
      <c r="H48" s="1306">
        <v>0.2</v>
      </c>
    </row>
    <row r="49" spans="1:8" s="1388" customFormat="1" ht="19.5" customHeight="1">
      <c r="A49" s="1403" t="s">
        <v>1095</v>
      </c>
      <c r="B49" s="1306">
        <v>0.7</v>
      </c>
      <c r="C49" s="1306">
        <v>0.4</v>
      </c>
      <c r="D49" s="1306">
        <v>0.28000000000000003</v>
      </c>
      <c r="E49" s="1306">
        <v>0.25</v>
      </c>
      <c r="F49" s="1306">
        <v>0.25</v>
      </c>
      <c r="G49" s="1306">
        <v>0.25</v>
      </c>
      <c r="H49" s="1306">
        <v>0.2</v>
      </c>
    </row>
    <row r="50" spans="1:8" s="1388" customFormat="1" ht="19.5" customHeight="1">
      <c r="A50" s="1403" t="s">
        <v>1096</v>
      </c>
      <c r="B50" s="1306">
        <v>0.7</v>
      </c>
      <c r="C50" s="1306">
        <v>0.4</v>
      </c>
      <c r="D50" s="1306">
        <v>0.28000000000000003</v>
      </c>
      <c r="E50" s="1306">
        <v>0.25</v>
      </c>
      <c r="F50" s="1306">
        <v>0.25</v>
      </c>
      <c r="G50" s="1306">
        <v>0.25</v>
      </c>
      <c r="H50" s="1306">
        <v>0.2</v>
      </c>
    </row>
    <row r="51" spans="1:8" s="1388" customFormat="1" ht="19.5" customHeight="1">
      <c r="A51" s="1403" t="s">
        <v>1097</v>
      </c>
      <c r="B51" s="1306">
        <v>0.7</v>
      </c>
      <c r="C51" s="1306">
        <v>0.4</v>
      </c>
      <c r="D51" s="1306">
        <v>0.28000000000000003</v>
      </c>
      <c r="E51" s="1306">
        <v>0.25</v>
      </c>
      <c r="F51" s="1306">
        <v>0.25</v>
      </c>
      <c r="G51" s="1306">
        <v>0.25</v>
      </c>
      <c r="H51" s="1306">
        <v>0.2</v>
      </c>
    </row>
    <row r="52" spans="1:8" s="1388" customFormat="1" ht="19.5" customHeight="1">
      <c r="A52" s="1403" t="s">
        <v>1098</v>
      </c>
      <c r="B52" s="1306">
        <v>0.6</v>
      </c>
      <c r="C52" s="1306">
        <v>0.3</v>
      </c>
      <c r="D52" s="1306">
        <v>0.2</v>
      </c>
      <c r="E52" s="1306">
        <v>0.2</v>
      </c>
      <c r="F52" s="1306">
        <v>0.2</v>
      </c>
      <c r="G52" s="1306">
        <v>0.2</v>
      </c>
      <c r="H52" s="1306">
        <v>0.15</v>
      </c>
    </row>
    <row r="53" spans="1:8" s="1388" customFormat="1" ht="19.5" customHeight="1">
      <c r="A53" s="1403" t="s">
        <v>1099</v>
      </c>
      <c r="B53" s="1306">
        <v>0.6</v>
      </c>
      <c r="C53" s="1306">
        <v>0.3</v>
      </c>
      <c r="D53" s="1306">
        <v>0.2</v>
      </c>
      <c r="E53" s="1306">
        <v>0.2</v>
      </c>
      <c r="F53" s="1306">
        <v>0.2</v>
      </c>
      <c r="G53" s="1306">
        <v>0.2</v>
      </c>
      <c r="H53" s="1306">
        <v>0.15</v>
      </c>
    </row>
    <row r="54" spans="1:8" s="1388" customFormat="1" ht="19.5" customHeight="1">
      <c r="A54" s="1403" t="s">
        <v>1100</v>
      </c>
      <c r="B54" s="1306">
        <v>0.6</v>
      </c>
      <c r="C54" s="1306">
        <v>0.3</v>
      </c>
      <c r="D54" s="1306">
        <v>0.2</v>
      </c>
      <c r="E54" s="1306">
        <v>0.2</v>
      </c>
      <c r="F54" s="1306">
        <v>0.2</v>
      </c>
      <c r="G54" s="1306">
        <v>0.2</v>
      </c>
      <c r="H54" s="1306">
        <v>0.15</v>
      </c>
    </row>
    <row r="55" spans="1:8" s="1388" customFormat="1" ht="19.5" customHeight="1">
      <c r="A55" s="1403" t="s">
        <v>1101</v>
      </c>
      <c r="B55" s="1306">
        <v>0.6</v>
      </c>
      <c r="C55" s="1306">
        <v>0.3</v>
      </c>
      <c r="D55" s="1306">
        <v>0.2</v>
      </c>
      <c r="E55" s="1306">
        <v>0.2</v>
      </c>
      <c r="F55" s="1306">
        <v>0.2</v>
      </c>
      <c r="G55" s="1306">
        <v>0.2</v>
      </c>
      <c r="H55" s="1306">
        <v>0.15</v>
      </c>
    </row>
    <row r="56" spans="1:8" s="1388" customFormat="1" ht="19.5" customHeight="1">
      <c r="A56" s="1403" t="s">
        <v>1102</v>
      </c>
      <c r="B56" s="1306">
        <v>0.6</v>
      </c>
      <c r="C56" s="1306">
        <v>0.3</v>
      </c>
      <c r="D56" s="1306">
        <v>0.2</v>
      </c>
      <c r="E56" s="1306">
        <v>0.2</v>
      </c>
      <c r="F56" s="1306">
        <v>0.2</v>
      </c>
      <c r="G56" s="1306">
        <v>0.2</v>
      </c>
      <c r="H56" s="1306">
        <v>0.15</v>
      </c>
    </row>
    <row r="58" spans="1:8" s="1388" customFormat="1" ht="19.5" customHeight="1">
      <c r="A58" s="1404"/>
      <c r="B58" s="1386"/>
      <c r="C58" s="1386"/>
      <c r="D58" s="1386" t="s">
        <v>1549</v>
      </c>
      <c r="E58" s="1386"/>
      <c r="F58" s="1386"/>
    </row>
    <row r="59" spans="1:8" s="1388" customFormat="1" ht="19.5" customHeight="1">
      <c r="A59" s="1392" t="s">
        <v>1550</v>
      </c>
      <c r="B59" s="1392" t="s">
        <v>1551</v>
      </c>
      <c r="C59" s="1392" t="s">
        <v>1552</v>
      </c>
      <c r="D59" s="1392" t="s">
        <v>1553</v>
      </c>
      <c r="E59" s="1392" t="s">
        <v>1554</v>
      </c>
      <c r="F59" s="1392" t="s">
        <v>1555</v>
      </c>
    </row>
    <row r="60" spans="1:8" ht="13.5">
      <c r="A60" s="1599"/>
      <c r="B60" s="1599"/>
      <c r="C60" s="1599" t="s">
        <v>1687</v>
      </c>
      <c r="D60" s="1599"/>
      <c r="E60" s="1405" t="s">
        <v>20</v>
      </c>
      <c r="F60" s="1599" t="s">
        <v>20</v>
      </c>
    </row>
    <row r="61" spans="1:8" s="1388" customFormat="1" ht="24">
      <c r="A61" s="1392">
        <v>1</v>
      </c>
      <c r="B61" s="3500" t="s">
        <v>1556</v>
      </c>
      <c r="C61" s="1306" t="s">
        <v>1557</v>
      </c>
      <c r="D61" s="1306" t="s">
        <v>1558</v>
      </c>
      <c r="E61" s="1405">
        <v>0.5</v>
      </c>
      <c r="F61" s="1392">
        <v>80</v>
      </c>
    </row>
    <row r="62" spans="1:8" s="1388" customFormat="1" ht="24">
      <c r="A62" s="1392">
        <v>2</v>
      </c>
      <c r="B62" s="3500"/>
      <c r="C62" s="1306" t="s">
        <v>1559</v>
      </c>
      <c r="D62" s="1306" t="s">
        <v>1560</v>
      </c>
      <c r="E62" s="1405">
        <v>0.5</v>
      </c>
      <c r="F62" s="1392">
        <v>80</v>
      </c>
    </row>
    <row r="63" spans="1:8" s="1388" customFormat="1" ht="36">
      <c r="A63" s="1392">
        <v>3</v>
      </c>
      <c r="B63" s="3500"/>
      <c r="C63" s="1306" t="s">
        <v>1561</v>
      </c>
      <c r="D63" s="1306" t="s">
        <v>1562</v>
      </c>
      <c r="E63" s="1405">
        <v>0.5</v>
      </c>
      <c r="F63" s="1392">
        <v>80</v>
      </c>
    </row>
    <row r="64" spans="1:8" s="1388" customFormat="1" ht="36">
      <c r="A64" s="1392">
        <v>4</v>
      </c>
      <c r="B64" s="3500"/>
      <c r="C64" s="1306" t="s">
        <v>1563</v>
      </c>
      <c r="D64" s="1306" t="s">
        <v>1564</v>
      </c>
      <c r="E64" s="1405">
        <v>0.4</v>
      </c>
      <c r="F64" s="1392">
        <v>60</v>
      </c>
    </row>
    <row r="65" spans="1:6" s="1388" customFormat="1" ht="36">
      <c r="A65" s="1392">
        <v>5</v>
      </c>
      <c r="B65" s="3500"/>
      <c r="C65" s="1306" t="s">
        <v>1565</v>
      </c>
      <c r="D65" s="1306" t="s">
        <v>1566</v>
      </c>
      <c r="E65" s="1405">
        <v>0.2</v>
      </c>
      <c r="F65" s="1392">
        <v>30</v>
      </c>
    </row>
    <row r="66" spans="1:6" s="1388" customFormat="1" ht="36">
      <c r="A66" s="1392">
        <v>6</v>
      </c>
      <c r="B66" s="3500"/>
      <c r="C66" s="1306" t="s">
        <v>1567</v>
      </c>
      <c r="D66" s="1306" t="s">
        <v>1568</v>
      </c>
      <c r="E66" s="1405">
        <v>0.3</v>
      </c>
      <c r="F66" s="1392">
        <v>50</v>
      </c>
    </row>
    <row r="67" spans="1:6" s="1388" customFormat="1" ht="36">
      <c r="A67" s="1392">
        <v>7</v>
      </c>
      <c r="B67" s="3500"/>
      <c r="C67" s="1306" t="s">
        <v>1569</v>
      </c>
      <c r="D67" s="1306" t="s">
        <v>1570</v>
      </c>
      <c r="E67" s="1405">
        <v>0.2</v>
      </c>
      <c r="F67" s="1392">
        <v>30</v>
      </c>
    </row>
    <row r="68" spans="1:6" s="1388" customFormat="1" ht="36">
      <c r="A68" s="1392">
        <v>8</v>
      </c>
      <c r="B68" s="3500"/>
      <c r="C68" s="1306" t="s">
        <v>1571</v>
      </c>
      <c r="D68" s="1306" t="s">
        <v>1572</v>
      </c>
      <c r="E68" s="1405">
        <v>0.2</v>
      </c>
      <c r="F68" s="1392">
        <v>30</v>
      </c>
    </row>
    <row r="69" spans="1:6" s="1388" customFormat="1" ht="36">
      <c r="A69" s="1392">
        <v>9</v>
      </c>
      <c r="B69" s="3500"/>
      <c r="C69" s="1306" t="s">
        <v>1573</v>
      </c>
      <c r="D69" s="1306" t="s">
        <v>1574</v>
      </c>
      <c r="E69" s="1405">
        <v>0.2</v>
      </c>
      <c r="F69" s="1392">
        <v>30</v>
      </c>
    </row>
    <row r="70" spans="1:6" s="1388" customFormat="1" ht="48">
      <c r="A70" s="1392">
        <v>10</v>
      </c>
      <c r="B70" s="3500"/>
      <c r="C70" s="1306" t="s">
        <v>1575</v>
      </c>
      <c r="D70" s="1306" t="s">
        <v>1576</v>
      </c>
      <c r="E70" s="1405">
        <v>0.2</v>
      </c>
      <c r="F70" s="1392">
        <v>30</v>
      </c>
    </row>
    <row r="71" spans="1:6" s="1388" customFormat="1" ht="48">
      <c r="A71" s="1392">
        <v>11</v>
      </c>
      <c r="B71" s="3500"/>
      <c r="C71" s="1306" t="s">
        <v>1577</v>
      </c>
      <c r="D71" s="1306" t="s">
        <v>1578</v>
      </c>
      <c r="E71" s="1405">
        <v>0.2</v>
      </c>
      <c r="F71" s="1392">
        <v>30</v>
      </c>
    </row>
    <row r="72" spans="1:6" s="1388" customFormat="1" ht="36">
      <c r="A72" s="1392">
        <v>12</v>
      </c>
      <c r="B72" s="3500"/>
      <c r="C72" s="1306" t="s">
        <v>1579</v>
      </c>
      <c r="D72" s="1306" t="s">
        <v>1580</v>
      </c>
      <c r="E72" s="1405">
        <v>0.5</v>
      </c>
      <c r="F72" s="1392">
        <v>80</v>
      </c>
    </row>
    <row r="73" spans="1:6" s="1388" customFormat="1" ht="24">
      <c r="A73" s="1392">
        <v>13</v>
      </c>
      <c r="B73" s="3500"/>
      <c r="C73" s="1306" t="s">
        <v>1581</v>
      </c>
      <c r="D73" s="1306" t="s">
        <v>1582</v>
      </c>
      <c r="E73" s="1405">
        <v>0.4</v>
      </c>
      <c r="F73" s="1392">
        <v>60</v>
      </c>
    </row>
    <row r="74" spans="1:6" s="1388" customFormat="1" ht="24">
      <c r="A74" s="1392">
        <v>14</v>
      </c>
      <c r="B74" s="3500"/>
      <c r="C74" s="1306" t="s">
        <v>1583</v>
      </c>
      <c r="D74" s="1306" t="s">
        <v>1584</v>
      </c>
      <c r="E74" s="1405">
        <v>0.2</v>
      </c>
      <c r="F74" s="1392">
        <v>30</v>
      </c>
    </row>
    <row r="75" spans="1:6" s="1388" customFormat="1" ht="24">
      <c r="A75" s="1392">
        <v>15</v>
      </c>
      <c r="B75" s="3500"/>
      <c r="C75" s="1306" t="s">
        <v>1585</v>
      </c>
      <c r="D75" s="1306" t="s">
        <v>1586</v>
      </c>
      <c r="E75" s="1405">
        <v>0.2</v>
      </c>
      <c r="F75" s="1392">
        <v>30</v>
      </c>
    </row>
    <row r="76" spans="1:6" s="1388" customFormat="1" ht="24">
      <c r="A76" s="1392">
        <v>16</v>
      </c>
      <c r="B76" s="3500" t="s">
        <v>1587</v>
      </c>
      <c r="C76" s="1306" t="s">
        <v>1588</v>
      </c>
      <c r="D76" s="1306" t="s">
        <v>1589</v>
      </c>
      <c r="E76" s="1405">
        <v>0.5</v>
      </c>
      <c r="F76" s="1392">
        <v>80</v>
      </c>
    </row>
    <row r="77" spans="1:6" s="1388" customFormat="1" ht="24">
      <c r="A77" s="1392">
        <v>17</v>
      </c>
      <c r="B77" s="3500"/>
      <c r="C77" s="1306" t="s">
        <v>1590</v>
      </c>
      <c r="D77" s="1306" t="s">
        <v>1591</v>
      </c>
      <c r="E77" s="1405">
        <v>0.5</v>
      </c>
      <c r="F77" s="1392">
        <v>80</v>
      </c>
    </row>
    <row r="78" spans="1:6" s="1388" customFormat="1" ht="24">
      <c r="A78" s="1392">
        <v>18</v>
      </c>
      <c r="B78" s="3500"/>
      <c r="C78" s="1306" t="s">
        <v>1592</v>
      </c>
      <c r="D78" s="1306" t="s">
        <v>1593</v>
      </c>
      <c r="E78" s="1405">
        <v>0.2</v>
      </c>
      <c r="F78" s="1392">
        <v>30</v>
      </c>
    </row>
    <row r="79" spans="1:6" s="1388" customFormat="1" ht="24">
      <c r="A79" s="1392">
        <v>19</v>
      </c>
      <c r="B79" s="3500"/>
      <c r="C79" s="1306" t="s">
        <v>1594</v>
      </c>
      <c r="D79" s="1306" t="s">
        <v>1595</v>
      </c>
      <c r="E79" s="1405">
        <v>0.5</v>
      </c>
      <c r="F79" s="1392">
        <v>80</v>
      </c>
    </row>
    <row r="80" spans="1:6" s="1388" customFormat="1" ht="36">
      <c r="A80" s="1392">
        <v>20</v>
      </c>
      <c r="B80" s="3500"/>
      <c r="C80" s="1306" t="s">
        <v>1596</v>
      </c>
      <c r="D80" s="1306" t="s">
        <v>1597</v>
      </c>
      <c r="E80" s="1405">
        <v>0.2</v>
      </c>
      <c r="F80" s="1392">
        <v>30</v>
      </c>
    </row>
    <row r="81" spans="1:6" s="1388" customFormat="1" ht="36">
      <c r="A81" s="1392">
        <v>21</v>
      </c>
      <c r="B81" s="3500"/>
      <c r="C81" s="1306" t="s">
        <v>1598</v>
      </c>
      <c r="D81" s="1306" t="s">
        <v>1599</v>
      </c>
      <c r="E81" s="1405">
        <v>0.2</v>
      </c>
      <c r="F81" s="1392">
        <v>30</v>
      </c>
    </row>
    <row r="82" spans="1:6" s="1388" customFormat="1" ht="48">
      <c r="A82" s="1392">
        <v>22</v>
      </c>
      <c r="B82" s="3500"/>
      <c r="C82" s="1306" t="s">
        <v>1600</v>
      </c>
      <c r="D82" s="1306" t="s">
        <v>1601</v>
      </c>
      <c r="E82" s="1405">
        <v>0.2</v>
      </c>
      <c r="F82" s="1392">
        <v>30</v>
      </c>
    </row>
    <row r="83" spans="1:6" s="1388" customFormat="1" ht="48">
      <c r="A83" s="1392">
        <v>23</v>
      </c>
      <c r="B83" s="3500"/>
      <c r="C83" s="1306" t="s">
        <v>1602</v>
      </c>
      <c r="D83" s="1306" t="s">
        <v>1603</v>
      </c>
      <c r="E83" s="1405">
        <v>0.2</v>
      </c>
      <c r="F83" s="1392">
        <v>30</v>
      </c>
    </row>
    <row r="84" spans="1:6" s="1388" customFormat="1" ht="36">
      <c r="A84" s="1392">
        <v>24</v>
      </c>
      <c r="B84" s="3500"/>
      <c r="C84" s="1306" t="s">
        <v>1604</v>
      </c>
      <c r="D84" s="1306" t="s">
        <v>1605</v>
      </c>
      <c r="E84" s="1405">
        <v>0.2</v>
      </c>
      <c r="F84" s="1392">
        <v>30</v>
      </c>
    </row>
    <row r="85" spans="1:6" s="1388" customFormat="1" ht="36">
      <c r="A85" s="1392">
        <v>25</v>
      </c>
      <c r="B85" s="3500"/>
      <c r="C85" s="1306" t="s">
        <v>1606</v>
      </c>
      <c r="D85" s="1306" t="s">
        <v>1607</v>
      </c>
      <c r="E85" s="1405">
        <v>0.5</v>
      </c>
      <c r="F85" s="1392">
        <v>80</v>
      </c>
    </row>
    <row r="86" spans="1:6" s="1388" customFormat="1" ht="36">
      <c r="A86" s="1392">
        <v>26</v>
      </c>
      <c r="B86" s="3500"/>
      <c r="C86" s="1306" t="s">
        <v>1608</v>
      </c>
      <c r="D86" s="1306" t="s">
        <v>1609</v>
      </c>
      <c r="E86" s="1405">
        <v>0.2</v>
      </c>
      <c r="F86" s="1392">
        <v>30</v>
      </c>
    </row>
    <row r="87" spans="1:6" s="1388" customFormat="1" ht="36">
      <c r="A87" s="1392">
        <v>27</v>
      </c>
      <c r="B87" s="3500"/>
      <c r="C87" s="1306" t="s">
        <v>1610</v>
      </c>
      <c r="D87" s="1306" t="s">
        <v>1611</v>
      </c>
      <c r="E87" s="1405">
        <v>0.2</v>
      </c>
      <c r="F87" s="1392">
        <v>30</v>
      </c>
    </row>
    <row r="88" spans="1:6" s="1388" customFormat="1" ht="36">
      <c r="A88" s="1392">
        <v>28</v>
      </c>
      <c r="B88" s="3500"/>
      <c r="C88" s="1306" t="s">
        <v>1612</v>
      </c>
      <c r="D88" s="1306" t="s">
        <v>1613</v>
      </c>
      <c r="E88" s="1405">
        <v>0.2</v>
      </c>
      <c r="F88" s="1392">
        <v>30</v>
      </c>
    </row>
    <row r="89" spans="1:6" s="1388" customFormat="1" ht="24">
      <c r="A89" s="1392">
        <v>29</v>
      </c>
      <c r="B89" s="3500"/>
      <c r="C89" s="1306" t="s">
        <v>1614</v>
      </c>
      <c r="D89" s="1306" t="s">
        <v>1615</v>
      </c>
      <c r="E89" s="1405">
        <v>0.2</v>
      </c>
      <c r="F89" s="1392">
        <v>30</v>
      </c>
    </row>
    <row r="90" spans="1:6" s="1388" customFormat="1" ht="24">
      <c r="A90" s="1392">
        <v>30</v>
      </c>
      <c r="B90" s="3500"/>
      <c r="C90" s="1306" t="s">
        <v>1616</v>
      </c>
      <c r="D90" s="1306" t="s">
        <v>1617</v>
      </c>
      <c r="E90" s="1405">
        <v>0.2</v>
      </c>
      <c r="F90" s="1392">
        <v>30</v>
      </c>
    </row>
    <row r="91" spans="1:6" s="1388" customFormat="1" ht="36">
      <c r="A91" s="1392">
        <v>31</v>
      </c>
      <c r="B91" s="3500"/>
      <c r="C91" s="1306" t="s">
        <v>1618</v>
      </c>
      <c r="D91" s="1306" t="s">
        <v>1619</v>
      </c>
      <c r="E91" s="1405">
        <v>0.2</v>
      </c>
      <c r="F91" s="1392">
        <v>30</v>
      </c>
    </row>
    <row r="92" spans="1:6" s="1388" customFormat="1" ht="24">
      <c r="A92" s="1392">
        <v>32</v>
      </c>
      <c r="B92" s="3500" t="s">
        <v>1620</v>
      </c>
      <c r="C92" s="1392" t="s">
        <v>1621</v>
      </c>
      <c r="D92" s="1306" t="s">
        <v>1622</v>
      </c>
      <c r="E92" s="1405">
        <v>0.2</v>
      </c>
      <c r="F92" s="1392">
        <v>30</v>
      </c>
    </row>
    <row r="93" spans="1:6" s="1388" customFormat="1" ht="36">
      <c r="A93" s="1392">
        <v>33</v>
      </c>
      <c r="B93" s="3500"/>
      <c r="C93" s="1392" t="s">
        <v>1623</v>
      </c>
      <c r="D93" s="1306" t="s">
        <v>1624</v>
      </c>
      <c r="E93" s="1405">
        <v>0.2</v>
      </c>
      <c r="F93" s="1392">
        <v>30</v>
      </c>
    </row>
    <row r="94" spans="1:6" s="1388" customFormat="1" ht="48">
      <c r="A94" s="1392">
        <v>34</v>
      </c>
      <c r="B94" s="3500"/>
      <c r="C94" s="1392" t="s">
        <v>1625</v>
      </c>
      <c r="D94" s="1306" t="s">
        <v>1626</v>
      </c>
      <c r="E94" s="1405">
        <v>0.2</v>
      </c>
      <c r="F94" s="1392">
        <v>30</v>
      </c>
    </row>
    <row r="95" spans="1:6" s="1388" customFormat="1" ht="36">
      <c r="A95" s="1392">
        <v>35</v>
      </c>
      <c r="B95" s="3500"/>
      <c r="C95" s="1392" t="s">
        <v>1627</v>
      </c>
      <c r="D95" s="1306" t="s">
        <v>1628</v>
      </c>
      <c r="E95" s="1405">
        <v>0.2</v>
      </c>
      <c r="F95" s="1392">
        <v>30</v>
      </c>
    </row>
    <row r="96" spans="1:6" s="1388" customFormat="1" ht="48">
      <c r="A96" s="1392">
        <v>36</v>
      </c>
      <c r="B96" s="3500"/>
      <c r="C96" s="1306" t="s">
        <v>1629</v>
      </c>
      <c r="D96" s="1306" t="s">
        <v>1630</v>
      </c>
      <c r="E96" s="1405">
        <v>0.2</v>
      </c>
      <c r="F96" s="1392">
        <v>30</v>
      </c>
    </row>
    <row r="97" spans="1:6" s="1388" customFormat="1" ht="36">
      <c r="A97" s="1392">
        <v>37</v>
      </c>
      <c r="B97" s="3500"/>
      <c r="C97" s="1392" t="s">
        <v>1631</v>
      </c>
      <c r="D97" s="1306" t="s">
        <v>1632</v>
      </c>
      <c r="E97" s="1405">
        <v>0.2</v>
      </c>
      <c r="F97" s="1392">
        <v>30</v>
      </c>
    </row>
    <row r="98" spans="1:6" s="1388" customFormat="1" ht="36">
      <c r="A98" s="1392">
        <v>38</v>
      </c>
      <c r="B98" s="3500"/>
      <c r="C98" s="1392" t="s">
        <v>1633</v>
      </c>
      <c r="D98" s="1306" t="s">
        <v>1634</v>
      </c>
      <c r="E98" s="1405">
        <v>0.2</v>
      </c>
      <c r="F98" s="1392">
        <v>30</v>
      </c>
    </row>
    <row r="99" spans="1:6" s="1388" customFormat="1" ht="36">
      <c r="A99" s="1392">
        <v>39</v>
      </c>
      <c r="B99" s="3500" t="s">
        <v>1635</v>
      </c>
      <c r="C99" s="1392" t="s">
        <v>1636</v>
      </c>
      <c r="D99" s="1306" t="s">
        <v>1637</v>
      </c>
      <c r="E99" s="1405">
        <v>0.3</v>
      </c>
      <c r="F99" s="1392">
        <v>50</v>
      </c>
    </row>
    <row r="100" spans="1:6" s="1388" customFormat="1" ht="24">
      <c r="A100" s="1392">
        <v>40</v>
      </c>
      <c r="B100" s="3500"/>
      <c r="C100" s="1392" t="s">
        <v>1638</v>
      </c>
      <c r="D100" s="1306" t="s">
        <v>1639</v>
      </c>
      <c r="E100" s="1405">
        <v>0.2</v>
      </c>
      <c r="F100" s="1392">
        <v>30</v>
      </c>
    </row>
    <row r="101" spans="1:6" s="1388" customFormat="1" ht="36">
      <c r="A101" s="1392">
        <v>41</v>
      </c>
      <c r="B101" s="3500"/>
      <c r="C101" s="1392" t="s">
        <v>1640</v>
      </c>
      <c r="D101" s="1306" t="s">
        <v>1637</v>
      </c>
      <c r="E101" s="1405">
        <v>0.2</v>
      </c>
      <c r="F101" s="1392">
        <v>30</v>
      </c>
    </row>
    <row r="102" spans="1:6" s="1388" customFormat="1" ht="48">
      <c r="A102" s="1392">
        <v>42</v>
      </c>
      <c r="B102" s="1392" t="s">
        <v>1641</v>
      </c>
      <c r="C102" s="1306" t="s">
        <v>1642</v>
      </c>
      <c r="D102" s="1306" t="s">
        <v>1643</v>
      </c>
      <c r="E102" s="1405">
        <v>0.2</v>
      </c>
      <c r="F102" s="1392">
        <v>30</v>
      </c>
    </row>
    <row r="103" spans="1:6" s="1388" customFormat="1" ht="24">
      <c r="A103" s="1392">
        <v>43</v>
      </c>
      <c r="B103" s="1392" t="s">
        <v>1644</v>
      </c>
      <c r="C103" s="1392" t="s">
        <v>1645</v>
      </c>
      <c r="D103" s="1306" t="s">
        <v>1646</v>
      </c>
      <c r="E103" s="1405">
        <v>0.2</v>
      </c>
      <c r="F103" s="1392">
        <v>30</v>
      </c>
    </row>
    <row r="104" spans="1:6" s="1388" customFormat="1" ht="36">
      <c r="A104" s="1392">
        <v>44</v>
      </c>
      <c r="B104" s="1392" t="s">
        <v>1647</v>
      </c>
      <c r="C104" s="1392" t="s">
        <v>1648</v>
      </c>
      <c r="D104" s="1306" t="s">
        <v>1649</v>
      </c>
      <c r="E104" s="1405">
        <v>0.2</v>
      </c>
      <c r="F104" s="1392">
        <v>30</v>
      </c>
    </row>
    <row r="105" spans="1:6" s="1388" customFormat="1" ht="36">
      <c r="A105" s="1392">
        <v>45</v>
      </c>
      <c r="B105" s="3500" t="s">
        <v>1650</v>
      </c>
      <c r="C105" s="1392" t="s">
        <v>1651</v>
      </c>
      <c r="D105" s="1306" t="s">
        <v>1652</v>
      </c>
      <c r="E105" s="1405">
        <v>0.2</v>
      </c>
      <c r="F105" s="1392">
        <v>30</v>
      </c>
    </row>
    <row r="106" spans="1:6" s="1388" customFormat="1" ht="36">
      <c r="A106" s="1392">
        <v>46</v>
      </c>
      <c r="B106" s="3500"/>
      <c r="C106" s="1392" t="s">
        <v>1653</v>
      </c>
      <c r="D106" s="1306" t="s">
        <v>1654</v>
      </c>
      <c r="E106" s="1405">
        <v>0.2</v>
      </c>
      <c r="F106" s="1392">
        <v>30</v>
      </c>
    </row>
    <row r="107" spans="1:6" s="1388" customFormat="1" ht="36">
      <c r="A107" s="1392">
        <v>47</v>
      </c>
      <c r="B107" s="3500" t="s">
        <v>1655</v>
      </c>
      <c r="C107" s="1392" t="s">
        <v>1656</v>
      </c>
      <c r="D107" s="1306" t="s">
        <v>1657</v>
      </c>
      <c r="E107" s="1405">
        <v>0.3</v>
      </c>
      <c r="F107" s="1392">
        <v>50</v>
      </c>
    </row>
    <row r="108" spans="1:6" s="1388" customFormat="1" ht="36">
      <c r="A108" s="1392">
        <v>48</v>
      </c>
      <c r="B108" s="3500"/>
      <c r="C108" s="1392" t="s">
        <v>1658</v>
      </c>
      <c r="D108" s="1306" t="s">
        <v>1659</v>
      </c>
      <c r="E108" s="1405">
        <v>0.2</v>
      </c>
      <c r="F108" s="1392">
        <v>30</v>
      </c>
    </row>
    <row r="109" spans="1:6" s="1388" customFormat="1" ht="36">
      <c r="A109" s="1392">
        <v>49</v>
      </c>
      <c r="B109" s="1392" t="s">
        <v>1660</v>
      </c>
      <c r="C109" s="1392" t="s">
        <v>1661</v>
      </c>
      <c r="D109" s="1306" t="s">
        <v>1662</v>
      </c>
      <c r="E109" s="1405">
        <v>0.2</v>
      </c>
      <c r="F109" s="1392">
        <v>30</v>
      </c>
    </row>
    <row r="110" spans="1:6" s="1388" customFormat="1" ht="36">
      <c r="A110" s="1392">
        <v>50</v>
      </c>
      <c r="B110" s="1392" t="s">
        <v>1663</v>
      </c>
      <c r="C110" s="1392" t="s">
        <v>1664</v>
      </c>
      <c r="D110" s="1306" t="s">
        <v>1665</v>
      </c>
      <c r="E110" s="1405">
        <v>0.2</v>
      </c>
      <c r="F110" s="1392">
        <v>30</v>
      </c>
    </row>
    <row r="111" spans="1:6" s="1388" customFormat="1" ht="36">
      <c r="A111" s="1392">
        <v>51</v>
      </c>
      <c r="B111" s="3500" t="s">
        <v>1666</v>
      </c>
      <c r="C111" s="1392" t="s">
        <v>1667</v>
      </c>
      <c r="D111" s="1306" t="s">
        <v>1668</v>
      </c>
      <c r="E111" s="1405">
        <v>0.2</v>
      </c>
      <c r="F111" s="1392">
        <v>30</v>
      </c>
    </row>
    <row r="112" spans="1:6" s="1388" customFormat="1" ht="24">
      <c r="A112" s="1392">
        <v>52</v>
      </c>
      <c r="B112" s="3500"/>
      <c r="C112" s="1392" t="s">
        <v>1669</v>
      </c>
      <c r="D112" s="1306" t="s">
        <v>1670</v>
      </c>
      <c r="E112" s="1405">
        <v>0.2</v>
      </c>
      <c r="F112" s="1392">
        <v>30</v>
      </c>
    </row>
    <row r="113" spans="1:6" s="1388" customFormat="1" ht="24">
      <c r="A113" s="1392">
        <v>53</v>
      </c>
      <c r="B113" s="3500"/>
      <c r="C113" s="1392" t="s">
        <v>1671</v>
      </c>
      <c r="D113" s="1306" t="s">
        <v>1672</v>
      </c>
      <c r="E113" s="1405">
        <v>0.2</v>
      </c>
      <c r="F113" s="1392">
        <v>30</v>
      </c>
    </row>
    <row r="114" spans="1:6" ht="36">
      <c r="A114" s="1392">
        <v>54</v>
      </c>
      <c r="B114" s="1392" t="s">
        <v>1673</v>
      </c>
      <c r="C114" s="1392" t="s">
        <v>1674</v>
      </c>
      <c r="D114" s="1306" t="s">
        <v>1675</v>
      </c>
      <c r="E114" s="1405">
        <v>0.2</v>
      </c>
      <c r="F114" s="1392">
        <v>30</v>
      </c>
    </row>
    <row r="115" spans="1:6" ht="24">
      <c r="A115" s="1392">
        <v>55</v>
      </c>
      <c r="B115" s="1392" t="s">
        <v>1676</v>
      </c>
      <c r="C115" s="1392" t="s">
        <v>1677</v>
      </c>
      <c r="D115" s="1306" t="s">
        <v>1678</v>
      </c>
      <c r="E115" s="1405">
        <v>0.2</v>
      </c>
      <c r="F115" s="1392">
        <v>30</v>
      </c>
    </row>
    <row r="116" spans="1:6" ht="24">
      <c r="A116" s="1392">
        <v>56</v>
      </c>
      <c r="B116" s="3500" t="s">
        <v>1679</v>
      </c>
      <c r="C116" s="1392" t="s">
        <v>1680</v>
      </c>
      <c r="D116" s="1306" t="s">
        <v>1681</v>
      </c>
      <c r="E116" s="1405">
        <v>0.2</v>
      </c>
      <c r="F116" s="1392">
        <v>30</v>
      </c>
    </row>
    <row r="117" spans="1:6" ht="36">
      <c r="A117" s="1392">
        <v>57</v>
      </c>
      <c r="B117" s="3500"/>
      <c r="C117" s="1392" t="s">
        <v>1682</v>
      </c>
      <c r="D117" s="1306" t="s">
        <v>1683</v>
      </c>
      <c r="E117" s="1405">
        <v>0.2</v>
      </c>
      <c r="F117" s="1392">
        <v>30</v>
      </c>
    </row>
    <row r="118" spans="1:6" ht="36">
      <c r="A118" s="1392">
        <v>58</v>
      </c>
      <c r="B118" s="1392" t="s">
        <v>1684</v>
      </c>
      <c r="C118" s="1392" t="s">
        <v>1685</v>
      </c>
      <c r="D118" s="1306" t="s">
        <v>1686</v>
      </c>
      <c r="E118" s="1405">
        <v>0.2</v>
      </c>
      <c r="F118" s="1392">
        <v>30</v>
      </c>
    </row>
    <row r="119" spans="1:6" ht="13.5">
      <c r="A119" s="1392"/>
      <c r="B119" s="1392"/>
      <c r="C119" s="1392" t="s">
        <v>1687</v>
      </c>
      <c r="D119" s="1392"/>
      <c r="E119" s="1405" t="s">
        <v>1497</v>
      </c>
      <c r="F119" s="1392" t="s">
        <v>1497</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2"/>
    <col min="2" max="16384" width="9" style="1417"/>
  </cols>
  <sheetData>
    <row r="1" spans="1:14" ht="14.25">
      <c r="A1" s="1415" t="s">
        <v>1689</v>
      </c>
      <c r="B1" s="1416"/>
      <c r="C1" s="1416"/>
      <c r="D1" s="1416"/>
      <c r="E1" s="1416"/>
      <c r="F1" s="1416"/>
      <c r="G1" s="1416"/>
      <c r="H1" s="1416"/>
      <c r="I1" s="1416"/>
      <c r="J1" s="1416"/>
      <c r="K1" s="1416"/>
      <c r="L1" s="1416"/>
      <c r="M1" s="1416"/>
      <c r="N1" s="1416"/>
    </row>
    <row r="2" spans="1:14">
      <c r="A2" s="1418" t="s">
        <v>1688</v>
      </c>
      <c r="B2" s="1419" t="s">
        <v>1091</v>
      </c>
      <c r="C2" s="1419" t="s">
        <v>1092</v>
      </c>
      <c r="D2" s="1419" t="s">
        <v>1093</v>
      </c>
      <c r="E2" s="1419" t="s">
        <v>1094</v>
      </c>
      <c r="F2" s="1419" t="s">
        <v>1095</v>
      </c>
      <c r="G2" s="1419" t="s">
        <v>1096</v>
      </c>
      <c r="H2" s="1420" t="s">
        <v>1097</v>
      </c>
      <c r="I2" s="1420" t="s">
        <v>1098</v>
      </c>
      <c r="J2" s="1421" t="s">
        <v>1099</v>
      </c>
      <c r="K2" s="1421" t="s">
        <v>1100</v>
      </c>
      <c r="L2" s="1421" t="s">
        <v>1101</v>
      </c>
      <c r="M2" s="1421" t="s">
        <v>1102</v>
      </c>
    </row>
    <row r="3" spans="1:14">
      <c r="A3" s="1418">
        <v>0.1</v>
      </c>
      <c r="B3" s="1427">
        <v>15.052</v>
      </c>
      <c r="C3" s="1427">
        <v>15.052</v>
      </c>
      <c r="D3" s="1427">
        <v>14.263</v>
      </c>
      <c r="E3" s="1427">
        <v>14.263</v>
      </c>
      <c r="F3" s="1427">
        <v>14.263</v>
      </c>
      <c r="G3" s="1427">
        <v>14.263</v>
      </c>
      <c r="H3" s="1427">
        <v>14.263</v>
      </c>
      <c r="I3" s="1427">
        <v>14.097</v>
      </c>
      <c r="J3" s="1427">
        <v>14.097</v>
      </c>
      <c r="K3" s="1427">
        <v>14.097</v>
      </c>
      <c r="L3" s="1427">
        <v>14.097</v>
      </c>
      <c r="M3" s="1427">
        <v>14.097</v>
      </c>
      <c r="N3" s="1428"/>
    </row>
    <row r="4" spans="1:14">
      <c r="A4" s="1418">
        <v>0.2</v>
      </c>
      <c r="B4" s="1427">
        <v>7.5259999999999998</v>
      </c>
      <c r="C4" s="1427">
        <v>7.5259999999999998</v>
      </c>
      <c r="D4" s="1427">
        <v>7.1315</v>
      </c>
      <c r="E4" s="1427">
        <v>7.1315</v>
      </c>
      <c r="F4" s="1427">
        <v>7.1315</v>
      </c>
      <c r="G4" s="1427">
        <v>7.1315</v>
      </c>
      <c r="H4" s="1427">
        <v>7.1315</v>
      </c>
      <c r="I4" s="1427">
        <v>7.0484999999999998</v>
      </c>
      <c r="J4" s="1427">
        <v>7.0484999999999998</v>
      </c>
      <c r="K4" s="1427">
        <v>7.0484999999999998</v>
      </c>
      <c r="L4" s="1427">
        <v>7.0484999999999998</v>
      </c>
      <c r="M4" s="1427">
        <v>7.0484999999999998</v>
      </c>
    </row>
    <row r="5" spans="1:14">
      <c r="A5" s="1418">
        <v>0.3</v>
      </c>
      <c r="B5" s="1427">
        <v>5.0172999999999996</v>
      </c>
      <c r="C5" s="1427">
        <v>5.0172999999999996</v>
      </c>
      <c r="D5" s="1427">
        <v>4.7542999999999997</v>
      </c>
      <c r="E5" s="1427">
        <v>4.7542999999999997</v>
      </c>
      <c r="F5" s="1427">
        <v>4.7542999999999997</v>
      </c>
      <c r="G5" s="1427">
        <v>4.7542999999999997</v>
      </c>
      <c r="H5" s="1427">
        <v>4.7542999999999997</v>
      </c>
      <c r="I5" s="1427">
        <v>4.6989999999999998</v>
      </c>
      <c r="J5" s="1427">
        <v>4.6989999999999998</v>
      </c>
      <c r="K5" s="1427">
        <v>4.6989999999999998</v>
      </c>
      <c r="L5" s="1427">
        <v>4.6989999999999998</v>
      </c>
      <c r="M5" s="1427">
        <v>4.6989999999999998</v>
      </c>
    </row>
    <row r="6" spans="1:14">
      <c r="A6" s="1418">
        <v>0.4</v>
      </c>
      <c r="B6" s="1427">
        <v>3.7629999999999999</v>
      </c>
      <c r="C6" s="1427">
        <v>3.7629999999999999</v>
      </c>
      <c r="D6" s="1427">
        <v>3.5657999999999999</v>
      </c>
      <c r="E6" s="1427">
        <v>3.5657999999999999</v>
      </c>
      <c r="F6" s="1427">
        <v>3.5657999999999999</v>
      </c>
      <c r="G6" s="1427">
        <v>3.5657999999999999</v>
      </c>
      <c r="H6" s="1427">
        <v>3.5657999999999999</v>
      </c>
      <c r="I6" s="1427">
        <v>3.5243000000000002</v>
      </c>
      <c r="J6" s="1427">
        <v>3.5243000000000002</v>
      </c>
      <c r="K6" s="1427">
        <v>3.5243000000000002</v>
      </c>
      <c r="L6" s="1427">
        <v>3.5243000000000002</v>
      </c>
      <c r="M6" s="1427">
        <v>3.5243000000000002</v>
      </c>
    </row>
    <row r="7" spans="1:14">
      <c r="A7" s="1418">
        <v>0.5</v>
      </c>
      <c r="B7" s="1427">
        <v>3.0104000000000002</v>
      </c>
      <c r="C7" s="1427">
        <v>3.0104000000000002</v>
      </c>
      <c r="D7" s="1427">
        <v>2.8525999999999998</v>
      </c>
      <c r="E7" s="1427">
        <v>2.8525999999999998</v>
      </c>
      <c r="F7" s="1427">
        <v>2.8525999999999998</v>
      </c>
      <c r="G7" s="1427">
        <v>2.8525999999999998</v>
      </c>
      <c r="H7" s="1427">
        <v>2.8525999999999998</v>
      </c>
      <c r="I7" s="1427">
        <v>2.8193999999999999</v>
      </c>
      <c r="J7" s="1427">
        <v>2.8193999999999999</v>
      </c>
      <c r="K7" s="1427">
        <v>2.8193999999999999</v>
      </c>
      <c r="L7" s="1427">
        <v>2.8193999999999999</v>
      </c>
      <c r="M7" s="1427">
        <v>2.8193999999999999</v>
      </c>
    </row>
    <row r="8" spans="1:14">
      <c r="A8" s="1418">
        <v>0.6</v>
      </c>
      <c r="B8" s="1427">
        <v>2.5087000000000002</v>
      </c>
      <c r="C8" s="1427">
        <v>2.5087000000000002</v>
      </c>
      <c r="D8" s="1427">
        <v>2.3772000000000002</v>
      </c>
      <c r="E8" s="1427">
        <v>2.3772000000000002</v>
      </c>
      <c r="F8" s="1427">
        <v>2.3772000000000002</v>
      </c>
      <c r="G8" s="1427">
        <v>2.3772000000000002</v>
      </c>
      <c r="H8" s="1427">
        <v>2.3772000000000002</v>
      </c>
      <c r="I8" s="1427">
        <v>2.3494999999999999</v>
      </c>
      <c r="J8" s="1427">
        <v>2.3494999999999999</v>
      </c>
      <c r="K8" s="1427">
        <v>2.3494999999999999</v>
      </c>
      <c r="L8" s="1427">
        <v>2.3494999999999999</v>
      </c>
      <c r="M8" s="1427">
        <v>2.3494999999999999</v>
      </c>
    </row>
    <row r="9" spans="1:14">
      <c r="A9" s="1418">
        <v>0.7</v>
      </c>
      <c r="B9" s="1427">
        <v>2.1503000000000001</v>
      </c>
      <c r="C9" s="1427">
        <v>2.1503000000000001</v>
      </c>
      <c r="D9" s="1427">
        <v>2.0375999999999999</v>
      </c>
      <c r="E9" s="1427">
        <v>2.0375999999999999</v>
      </c>
      <c r="F9" s="1427">
        <v>2.0375999999999999</v>
      </c>
      <c r="G9" s="1427">
        <v>2.0375999999999999</v>
      </c>
      <c r="H9" s="1427">
        <v>2.0375999999999999</v>
      </c>
      <c r="I9" s="1427">
        <v>2.0139</v>
      </c>
      <c r="J9" s="1427">
        <v>2.0139</v>
      </c>
      <c r="K9" s="1427">
        <v>2.0139</v>
      </c>
      <c r="L9" s="1427">
        <v>2.0139</v>
      </c>
      <c r="M9" s="1427">
        <v>2.0139</v>
      </c>
    </row>
    <row r="10" spans="1:14">
      <c r="A10" s="1418">
        <v>0.8</v>
      </c>
      <c r="B10" s="1427">
        <v>1.8815</v>
      </c>
      <c r="C10" s="1427">
        <v>1.8815</v>
      </c>
      <c r="D10" s="1427">
        <v>1.7828999999999999</v>
      </c>
      <c r="E10" s="1427">
        <v>1.7828999999999999</v>
      </c>
      <c r="F10" s="1427">
        <v>1.7828999999999999</v>
      </c>
      <c r="G10" s="1427">
        <v>1.7828999999999999</v>
      </c>
      <c r="H10" s="1427">
        <v>1.7828999999999999</v>
      </c>
      <c r="I10" s="1427">
        <v>1.7621</v>
      </c>
      <c r="J10" s="1427">
        <v>1.7621</v>
      </c>
      <c r="K10" s="1427">
        <v>1.7621</v>
      </c>
      <c r="L10" s="1427">
        <v>1.7621</v>
      </c>
      <c r="M10" s="1427">
        <v>1.7621</v>
      </c>
    </row>
    <row r="11" spans="1:14">
      <c r="A11" s="1418">
        <v>0.9</v>
      </c>
      <c r="B11" s="1427">
        <v>1.6724000000000001</v>
      </c>
      <c r="C11" s="1427">
        <v>1.6724000000000001</v>
      </c>
      <c r="D11" s="1427">
        <v>1.5848</v>
      </c>
      <c r="E11" s="1427">
        <v>1.5848</v>
      </c>
      <c r="F11" s="1427">
        <v>1.5848</v>
      </c>
      <c r="G11" s="1427">
        <v>1.5848</v>
      </c>
      <c r="H11" s="1427">
        <v>1.5848</v>
      </c>
      <c r="I11" s="1427">
        <v>1.5663</v>
      </c>
      <c r="J11" s="1427">
        <v>1.5663</v>
      </c>
      <c r="K11" s="1427">
        <v>1.5663</v>
      </c>
      <c r="L11" s="1427">
        <v>1.5663</v>
      </c>
      <c r="M11" s="1427">
        <v>1.5663</v>
      </c>
    </row>
    <row r="12" spans="1:14">
      <c r="A12" s="1418">
        <v>1</v>
      </c>
      <c r="B12" s="1427">
        <v>1.5052000000000001</v>
      </c>
      <c r="C12" s="1427">
        <v>1.5052000000000001</v>
      </c>
      <c r="D12" s="1427">
        <v>1.4262999999999999</v>
      </c>
      <c r="E12" s="1427">
        <v>1.4262999999999999</v>
      </c>
      <c r="F12" s="1427">
        <v>1.4262999999999999</v>
      </c>
      <c r="G12" s="1427">
        <v>1.4262999999999999</v>
      </c>
      <c r="H12" s="1427">
        <v>1.4262999999999999</v>
      </c>
      <c r="I12" s="1427">
        <v>1.4097</v>
      </c>
      <c r="J12" s="1427">
        <v>1.4097</v>
      </c>
      <c r="K12" s="1427">
        <v>1.4097</v>
      </c>
      <c r="L12" s="1427">
        <v>1.4097</v>
      </c>
      <c r="M12" s="1427">
        <v>1.4097</v>
      </c>
    </row>
    <row r="13" spans="1:14">
      <c r="A13" s="1418">
        <v>1.1000000000000001</v>
      </c>
      <c r="B13" s="1427">
        <v>1.4509000000000001</v>
      </c>
      <c r="C13" s="1427">
        <v>1.4509000000000001</v>
      </c>
      <c r="D13" s="1427">
        <v>1.3697999999999999</v>
      </c>
      <c r="E13" s="1427">
        <v>1.3697999999999999</v>
      </c>
      <c r="F13" s="1427">
        <v>1.3697999999999999</v>
      </c>
      <c r="G13" s="1427">
        <v>1.3697999999999999</v>
      </c>
      <c r="H13" s="1427">
        <v>1.3697999999999999</v>
      </c>
      <c r="I13" s="1427">
        <v>1.343</v>
      </c>
      <c r="J13" s="1427">
        <v>1.343</v>
      </c>
      <c r="K13" s="1427">
        <v>1.343</v>
      </c>
      <c r="L13" s="1427">
        <v>1.343</v>
      </c>
      <c r="M13" s="1427">
        <v>1.343</v>
      </c>
    </row>
    <row r="14" spans="1:14">
      <c r="A14" s="1418">
        <v>1.2</v>
      </c>
      <c r="B14" s="1427">
        <v>1.4035</v>
      </c>
      <c r="C14" s="1427">
        <v>1.4035</v>
      </c>
      <c r="D14" s="1427">
        <v>1.3205</v>
      </c>
      <c r="E14" s="1427">
        <v>1.3205</v>
      </c>
      <c r="F14" s="1427">
        <v>1.3205</v>
      </c>
      <c r="G14" s="1427">
        <v>1.3205</v>
      </c>
      <c r="H14" s="1427">
        <v>1.3205</v>
      </c>
      <c r="I14" s="1427">
        <v>1.2845</v>
      </c>
      <c r="J14" s="1427">
        <v>1.2845</v>
      </c>
      <c r="K14" s="1427">
        <v>1.2845</v>
      </c>
      <c r="L14" s="1427">
        <v>1.2845</v>
      </c>
      <c r="M14" s="1427">
        <v>1.2845</v>
      </c>
    </row>
    <row r="15" spans="1:14">
      <c r="A15" s="1418">
        <v>1.3</v>
      </c>
      <c r="B15" s="1427">
        <v>1.3622000000000001</v>
      </c>
      <c r="C15" s="1427">
        <v>1.3622000000000001</v>
      </c>
      <c r="D15" s="1427">
        <v>1.2775000000000001</v>
      </c>
      <c r="E15" s="1427">
        <v>1.2775000000000001</v>
      </c>
      <c r="F15" s="1427">
        <v>1.2775000000000001</v>
      </c>
      <c r="G15" s="1427">
        <v>1.2775000000000001</v>
      </c>
      <c r="H15" s="1427">
        <v>1.2775000000000001</v>
      </c>
      <c r="I15" s="1427">
        <v>1.2332000000000001</v>
      </c>
      <c r="J15" s="1427">
        <v>1.2332000000000001</v>
      </c>
      <c r="K15" s="1427">
        <v>1.2332000000000001</v>
      </c>
      <c r="L15" s="1427">
        <v>1.2332000000000001</v>
      </c>
      <c r="M15" s="1427">
        <v>1.2332000000000001</v>
      </c>
    </row>
    <row r="16" spans="1:14">
      <c r="A16" s="1418">
        <v>1.4</v>
      </c>
      <c r="B16" s="1427">
        <v>1.3262</v>
      </c>
      <c r="C16" s="1427">
        <v>1.3262</v>
      </c>
      <c r="D16" s="1427">
        <v>1.2402</v>
      </c>
      <c r="E16" s="1427">
        <v>1.2402</v>
      </c>
      <c r="F16" s="1427">
        <v>1.2402</v>
      </c>
      <c r="G16" s="1427">
        <v>1.2402</v>
      </c>
      <c r="H16" s="1427">
        <v>1.2402</v>
      </c>
      <c r="I16" s="1427">
        <v>1.1881999999999999</v>
      </c>
      <c r="J16" s="1427">
        <v>1.1881999999999999</v>
      </c>
      <c r="K16" s="1427">
        <v>1.1881999999999999</v>
      </c>
      <c r="L16" s="1427">
        <v>1.1881999999999999</v>
      </c>
      <c r="M16" s="1427">
        <v>1.1881999999999999</v>
      </c>
      <c r="N16" s="1428"/>
    </row>
    <row r="17" spans="1:14">
      <c r="A17" s="1418">
        <v>1.5</v>
      </c>
      <c r="B17" s="1427">
        <v>1.2948</v>
      </c>
      <c r="C17" s="1427">
        <v>1.2948</v>
      </c>
      <c r="D17" s="1427">
        <v>1.2075</v>
      </c>
      <c r="E17" s="1427">
        <v>1.2075</v>
      </c>
      <c r="F17" s="1427">
        <v>1.2075</v>
      </c>
      <c r="G17" s="1427">
        <v>1.2075</v>
      </c>
      <c r="H17" s="1427">
        <v>1.2075</v>
      </c>
      <c r="I17" s="1427">
        <v>1.1486000000000001</v>
      </c>
      <c r="J17" s="1427">
        <v>1.1486000000000001</v>
      </c>
      <c r="K17" s="1427">
        <v>1.1486000000000001</v>
      </c>
      <c r="L17" s="1427">
        <v>1.1486000000000001</v>
      </c>
      <c r="M17" s="1427">
        <v>1.1486000000000001</v>
      </c>
      <c r="N17" s="1428"/>
    </row>
    <row r="18" spans="1:14">
      <c r="A18" s="1418">
        <v>1.6</v>
      </c>
      <c r="B18" s="1427">
        <v>1.2673000000000001</v>
      </c>
      <c r="C18" s="1427">
        <v>1.2673000000000001</v>
      </c>
      <c r="D18" s="1427">
        <v>1.1789000000000001</v>
      </c>
      <c r="E18" s="1427">
        <v>1.1789000000000001</v>
      </c>
      <c r="F18" s="1427">
        <v>1.1789000000000001</v>
      </c>
      <c r="G18" s="1427">
        <v>1.1789000000000001</v>
      </c>
      <c r="H18" s="1427">
        <v>1.1789000000000001</v>
      </c>
      <c r="I18" s="1427">
        <v>1.1134999999999999</v>
      </c>
      <c r="J18" s="1427">
        <v>1.1134999999999999</v>
      </c>
      <c r="K18" s="1427">
        <v>1.1134999999999999</v>
      </c>
      <c r="L18" s="1427">
        <v>1.1134999999999999</v>
      </c>
      <c r="M18" s="1427">
        <v>1.1134999999999999</v>
      </c>
    </row>
    <row r="19" spans="1:14">
      <c r="A19" s="1418">
        <v>1.7</v>
      </c>
      <c r="B19" s="1427">
        <v>1.2428999999999999</v>
      </c>
      <c r="C19" s="1427">
        <v>1.2428999999999999</v>
      </c>
      <c r="D19" s="1427">
        <v>1.1534</v>
      </c>
      <c r="E19" s="1427">
        <v>1.1534</v>
      </c>
      <c r="F19" s="1427">
        <v>1.1534</v>
      </c>
      <c r="G19" s="1427">
        <v>1.1534</v>
      </c>
      <c r="H19" s="1427">
        <v>1.1534</v>
      </c>
      <c r="I19" s="1427">
        <v>1.0820000000000001</v>
      </c>
      <c r="J19" s="1427">
        <v>1.0820000000000001</v>
      </c>
      <c r="K19" s="1427">
        <v>1.0820000000000001</v>
      </c>
      <c r="L19" s="1427">
        <v>1.0820000000000001</v>
      </c>
      <c r="M19" s="1427">
        <v>1.0820000000000001</v>
      </c>
    </row>
    <row r="20" spans="1:14">
      <c r="A20" s="1418">
        <v>1.8</v>
      </c>
      <c r="B20" s="1427">
        <v>1.2206999999999999</v>
      </c>
      <c r="C20" s="1427">
        <v>1.2206999999999999</v>
      </c>
      <c r="D20" s="1427">
        <v>1.1304000000000001</v>
      </c>
      <c r="E20" s="1427">
        <v>1.1304000000000001</v>
      </c>
      <c r="F20" s="1427">
        <v>1.1304000000000001</v>
      </c>
      <c r="G20" s="1427">
        <v>1.1304000000000001</v>
      </c>
      <c r="H20" s="1427">
        <v>1.1304000000000001</v>
      </c>
      <c r="I20" s="1427">
        <v>1.0531999999999999</v>
      </c>
      <c r="J20" s="1427">
        <v>1.0531999999999999</v>
      </c>
      <c r="K20" s="1427">
        <v>1.0531999999999999</v>
      </c>
      <c r="L20" s="1427">
        <v>1.0531999999999999</v>
      </c>
      <c r="M20" s="1427">
        <v>1.0531999999999999</v>
      </c>
    </row>
    <row r="21" spans="1:14">
      <c r="A21" s="1418">
        <v>1.9</v>
      </c>
      <c r="B21" s="1427">
        <v>1.2</v>
      </c>
      <c r="C21" s="1427">
        <v>1.2</v>
      </c>
      <c r="D21" s="1427">
        <v>1.1089</v>
      </c>
      <c r="E21" s="1427">
        <v>1.1089</v>
      </c>
      <c r="F21" s="1427">
        <v>1.1089</v>
      </c>
      <c r="G21" s="1427">
        <v>1.1089</v>
      </c>
      <c r="H21" s="1427">
        <v>1.1089</v>
      </c>
      <c r="I21" s="1427">
        <v>1.0261</v>
      </c>
      <c r="J21" s="1427">
        <v>1.0261</v>
      </c>
      <c r="K21" s="1427">
        <v>1.0261</v>
      </c>
      <c r="L21" s="1427">
        <v>1.0261</v>
      </c>
      <c r="M21" s="1427">
        <v>1.0261</v>
      </c>
    </row>
    <row r="22" spans="1:14">
      <c r="A22" s="1418">
        <v>2</v>
      </c>
      <c r="B22" s="1427">
        <v>1.1800999999999999</v>
      </c>
      <c r="C22" s="1427">
        <v>1.1800999999999999</v>
      </c>
      <c r="D22" s="1427">
        <v>1.0883</v>
      </c>
      <c r="E22" s="1427">
        <v>1.0883</v>
      </c>
      <c r="F22" s="1427">
        <v>1.0883</v>
      </c>
      <c r="G22" s="1427">
        <v>1.0883</v>
      </c>
      <c r="H22" s="1427">
        <v>1.0883</v>
      </c>
      <c r="I22" s="1427">
        <v>1</v>
      </c>
      <c r="J22" s="1427">
        <v>1</v>
      </c>
      <c r="K22" s="1427">
        <v>1</v>
      </c>
      <c r="L22" s="1427">
        <v>1</v>
      </c>
      <c r="M22" s="1427">
        <v>1</v>
      </c>
    </row>
    <row r="23" spans="1:14">
      <c r="A23" s="1441">
        <v>2.1</v>
      </c>
      <c r="B23" s="1427">
        <v>1.1616</v>
      </c>
      <c r="C23" s="1427">
        <v>1.1616</v>
      </c>
      <c r="D23" s="1427">
        <v>1.0685</v>
      </c>
      <c r="E23" s="1427">
        <v>1.0685</v>
      </c>
      <c r="F23" s="1427">
        <v>1.0685</v>
      </c>
      <c r="G23" s="1427">
        <v>1.0685</v>
      </c>
      <c r="H23" s="1427">
        <v>1.0685</v>
      </c>
      <c r="I23" s="1427">
        <v>0.97550000000000003</v>
      </c>
      <c r="J23" s="1427">
        <v>0.97550000000000003</v>
      </c>
      <c r="K23" s="1427">
        <v>0.97550000000000003</v>
      </c>
      <c r="L23" s="1427">
        <v>0.97550000000000003</v>
      </c>
      <c r="M23" s="1427">
        <v>0.97550000000000003</v>
      </c>
    </row>
    <row r="24" spans="1:14">
      <c r="A24" s="1441">
        <v>2.2000000000000002</v>
      </c>
      <c r="B24" s="1427">
        <v>1.1440999999999999</v>
      </c>
      <c r="C24" s="1427">
        <v>1.1440999999999999</v>
      </c>
      <c r="D24" s="1427">
        <v>1.0497000000000001</v>
      </c>
      <c r="E24" s="1427">
        <v>1.0497000000000001</v>
      </c>
      <c r="F24" s="1427">
        <v>1.0497000000000001</v>
      </c>
      <c r="G24" s="1427">
        <v>1.0497000000000001</v>
      </c>
      <c r="H24" s="1427">
        <v>1.0497000000000001</v>
      </c>
      <c r="I24" s="1427">
        <v>0.95230000000000004</v>
      </c>
      <c r="J24" s="1427">
        <v>0.95230000000000004</v>
      </c>
      <c r="K24" s="1427">
        <v>0.95230000000000004</v>
      </c>
      <c r="L24" s="1427">
        <v>0.95230000000000004</v>
      </c>
      <c r="M24" s="1427">
        <v>0.95230000000000004</v>
      </c>
    </row>
    <row r="25" spans="1:14">
      <c r="A25" s="1441">
        <v>2.2999999999999998</v>
      </c>
      <c r="B25" s="1427">
        <v>1.1275999999999999</v>
      </c>
      <c r="C25" s="1427">
        <v>1.1275999999999999</v>
      </c>
      <c r="D25" s="1427">
        <v>1.032</v>
      </c>
      <c r="E25" s="1427">
        <v>1.032</v>
      </c>
      <c r="F25" s="1427">
        <v>1.032</v>
      </c>
      <c r="G25" s="1427">
        <v>1.032</v>
      </c>
      <c r="H25" s="1427">
        <v>1.032</v>
      </c>
      <c r="I25" s="1427">
        <v>0.9304</v>
      </c>
      <c r="J25" s="1427">
        <v>0.9304</v>
      </c>
      <c r="K25" s="1427">
        <v>0.9304</v>
      </c>
      <c r="L25" s="1427">
        <v>0.9304</v>
      </c>
      <c r="M25" s="1427">
        <v>0.9304</v>
      </c>
    </row>
    <row r="26" spans="1:14">
      <c r="A26" s="1441">
        <v>2.4</v>
      </c>
      <c r="B26" s="1427">
        <v>1.1121000000000001</v>
      </c>
      <c r="C26" s="1427">
        <v>1.1121000000000001</v>
      </c>
      <c r="D26" s="1427">
        <v>1.0155000000000001</v>
      </c>
      <c r="E26" s="1427">
        <v>1.0155000000000001</v>
      </c>
      <c r="F26" s="1427">
        <v>1.0155000000000001</v>
      </c>
      <c r="G26" s="1427">
        <v>1.0155000000000001</v>
      </c>
      <c r="H26" s="1427">
        <v>1.0155000000000001</v>
      </c>
      <c r="I26" s="1427">
        <v>0.91</v>
      </c>
      <c r="J26" s="1427">
        <v>0.91</v>
      </c>
      <c r="K26" s="1427">
        <v>0.91</v>
      </c>
      <c r="L26" s="1427">
        <v>0.91</v>
      </c>
      <c r="M26" s="1427">
        <v>0.91</v>
      </c>
    </row>
    <row r="27" spans="1:14">
      <c r="A27" s="1441">
        <v>2.5</v>
      </c>
      <c r="B27" s="1427">
        <v>1.0975999999999999</v>
      </c>
      <c r="C27" s="1427">
        <v>1.0975999999999999</v>
      </c>
      <c r="D27" s="1427">
        <v>1</v>
      </c>
      <c r="E27" s="1427">
        <v>1</v>
      </c>
      <c r="F27" s="1427">
        <v>1</v>
      </c>
      <c r="G27" s="1427">
        <v>1</v>
      </c>
      <c r="H27" s="1427">
        <v>1</v>
      </c>
      <c r="I27" s="1427">
        <v>0.89080000000000004</v>
      </c>
      <c r="J27" s="1427">
        <v>0.89080000000000004</v>
      </c>
      <c r="K27" s="1427">
        <v>0.89080000000000004</v>
      </c>
      <c r="L27" s="1427">
        <v>0.89080000000000004</v>
      </c>
      <c r="M27" s="1427">
        <v>0.89080000000000004</v>
      </c>
    </row>
    <row r="28" spans="1:14">
      <c r="A28" s="1441">
        <v>2.6</v>
      </c>
      <c r="B28" s="1427">
        <v>1.0841000000000001</v>
      </c>
      <c r="C28" s="1427">
        <v>1.0841000000000001</v>
      </c>
      <c r="D28" s="1427">
        <v>0.98619999999999997</v>
      </c>
      <c r="E28" s="1427">
        <v>0.98619999999999997</v>
      </c>
      <c r="F28" s="1427">
        <v>0.98619999999999997</v>
      </c>
      <c r="G28" s="1427">
        <v>0.98619999999999997</v>
      </c>
      <c r="H28" s="1427">
        <v>0.98619999999999997</v>
      </c>
      <c r="I28" s="1427">
        <v>0.873</v>
      </c>
      <c r="J28" s="1427">
        <v>0.873</v>
      </c>
      <c r="K28" s="1427">
        <v>0.873</v>
      </c>
      <c r="L28" s="1427">
        <v>0.873</v>
      </c>
      <c r="M28" s="1427">
        <v>0.873</v>
      </c>
    </row>
    <row r="29" spans="1:14">
      <c r="A29" s="1441">
        <v>2.7</v>
      </c>
      <c r="B29" s="1427">
        <v>1.0716000000000001</v>
      </c>
      <c r="C29" s="1427">
        <v>1.0716000000000001</v>
      </c>
      <c r="D29" s="1427">
        <v>0.97330000000000005</v>
      </c>
      <c r="E29" s="1427">
        <v>0.97330000000000005</v>
      </c>
      <c r="F29" s="1427">
        <v>0.97330000000000005</v>
      </c>
      <c r="G29" s="1427">
        <v>0.97330000000000005</v>
      </c>
      <c r="H29" s="1427">
        <v>0.97330000000000005</v>
      </c>
      <c r="I29" s="1427">
        <v>0.85670000000000002</v>
      </c>
      <c r="J29" s="1427">
        <v>0.85670000000000002</v>
      </c>
      <c r="K29" s="1427">
        <v>0.85670000000000002</v>
      </c>
      <c r="L29" s="1427">
        <v>0.85670000000000002</v>
      </c>
      <c r="M29" s="1427">
        <v>0.85670000000000002</v>
      </c>
    </row>
    <row r="30" spans="1:14">
      <c r="A30" s="1441">
        <v>2.8</v>
      </c>
      <c r="B30" s="1427">
        <v>1.0602</v>
      </c>
      <c r="C30" s="1427">
        <v>1.0602</v>
      </c>
      <c r="D30" s="1427">
        <v>0.96160000000000001</v>
      </c>
      <c r="E30" s="1427">
        <v>0.96160000000000001</v>
      </c>
      <c r="F30" s="1427">
        <v>0.96160000000000001</v>
      </c>
      <c r="G30" s="1427">
        <v>0.96160000000000001</v>
      </c>
      <c r="H30" s="1427">
        <v>0.96160000000000001</v>
      </c>
      <c r="I30" s="1427">
        <v>0.8417</v>
      </c>
      <c r="J30" s="1427">
        <v>0.8417</v>
      </c>
      <c r="K30" s="1427">
        <v>0.8417</v>
      </c>
      <c r="L30" s="1427">
        <v>0.8417</v>
      </c>
      <c r="M30" s="1427">
        <v>0.8417</v>
      </c>
    </row>
    <row r="31" spans="1:14">
      <c r="A31" s="1441">
        <v>2.9</v>
      </c>
      <c r="B31" s="1427">
        <v>1.0497000000000001</v>
      </c>
      <c r="C31" s="1427">
        <v>1.0497000000000001</v>
      </c>
      <c r="D31" s="1427">
        <v>0.95089999999999997</v>
      </c>
      <c r="E31" s="1427">
        <v>0.95089999999999997</v>
      </c>
      <c r="F31" s="1427">
        <v>0.95089999999999997</v>
      </c>
      <c r="G31" s="1427">
        <v>0.95089999999999997</v>
      </c>
      <c r="H31" s="1427">
        <v>0.95089999999999997</v>
      </c>
      <c r="I31" s="1427">
        <v>0.82809999999999995</v>
      </c>
      <c r="J31" s="1427">
        <v>0.82809999999999995</v>
      </c>
      <c r="K31" s="1427">
        <v>0.82809999999999995</v>
      </c>
      <c r="L31" s="1427">
        <v>0.82809999999999995</v>
      </c>
      <c r="M31" s="1427">
        <v>0.82809999999999995</v>
      </c>
    </row>
    <row r="32" spans="1:14">
      <c r="A32" s="1441">
        <v>3</v>
      </c>
      <c r="B32" s="1427">
        <v>1.0401</v>
      </c>
      <c r="C32" s="1427">
        <v>1.0401</v>
      </c>
      <c r="D32" s="1427">
        <v>0.94089999999999996</v>
      </c>
      <c r="E32" s="1427">
        <v>0.94089999999999996</v>
      </c>
      <c r="F32" s="1427">
        <v>0.94089999999999996</v>
      </c>
      <c r="G32" s="1427">
        <v>0.94089999999999996</v>
      </c>
      <c r="H32" s="1427">
        <v>0.94089999999999996</v>
      </c>
      <c r="I32" s="1427">
        <v>0.81579999999999997</v>
      </c>
      <c r="J32" s="1427">
        <v>0.81579999999999997</v>
      </c>
      <c r="K32" s="1427">
        <v>0.81579999999999997</v>
      </c>
      <c r="L32" s="1427">
        <v>0.81579999999999997</v>
      </c>
      <c r="M32" s="1427">
        <v>0.81579999999999997</v>
      </c>
    </row>
    <row r="33" spans="1:13">
      <c r="A33" s="1441">
        <v>3.1</v>
      </c>
      <c r="B33" s="1427">
        <v>1.0314000000000001</v>
      </c>
      <c r="C33" s="1427">
        <v>1.0314000000000001</v>
      </c>
      <c r="D33" s="1427">
        <v>0.93169999999999997</v>
      </c>
      <c r="E33" s="1427">
        <v>0.93169999999999997</v>
      </c>
      <c r="F33" s="1427">
        <v>0.93169999999999997</v>
      </c>
      <c r="G33" s="1427">
        <v>0.93169999999999997</v>
      </c>
      <c r="H33" s="1427">
        <v>0.93169999999999997</v>
      </c>
      <c r="I33" s="1427">
        <v>0.80410000000000004</v>
      </c>
      <c r="J33" s="1427">
        <v>0.80410000000000004</v>
      </c>
      <c r="K33" s="1427">
        <v>0.80410000000000004</v>
      </c>
      <c r="L33" s="1427">
        <v>0.80410000000000004</v>
      </c>
      <c r="M33" s="1427">
        <v>0.80410000000000004</v>
      </c>
    </row>
    <row r="34" spans="1:13">
      <c r="A34" s="1441">
        <v>3.2</v>
      </c>
      <c r="B34" s="1427">
        <v>1.0229999999999999</v>
      </c>
      <c r="C34" s="1427">
        <v>1.0229999999999999</v>
      </c>
      <c r="D34" s="1427">
        <v>0.92279999999999995</v>
      </c>
      <c r="E34" s="1427">
        <v>0.92279999999999995</v>
      </c>
      <c r="F34" s="1427">
        <v>0.92279999999999995</v>
      </c>
      <c r="G34" s="1427">
        <v>0.92279999999999995</v>
      </c>
      <c r="H34" s="1427">
        <v>0.92279999999999995</v>
      </c>
      <c r="I34" s="1427">
        <v>0.79300000000000004</v>
      </c>
      <c r="J34" s="1427">
        <v>0.79300000000000004</v>
      </c>
      <c r="K34" s="1427">
        <v>0.79300000000000004</v>
      </c>
      <c r="L34" s="1427">
        <v>0.79300000000000004</v>
      </c>
      <c r="M34" s="1427">
        <v>0.79300000000000004</v>
      </c>
    </row>
    <row r="35" spans="1:13">
      <c r="A35" s="1441">
        <v>3.3</v>
      </c>
      <c r="B35" s="1427">
        <v>1.0149999999999999</v>
      </c>
      <c r="C35" s="1427">
        <v>1.0149999999999999</v>
      </c>
      <c r="D35" s="1427">
        <v>0.91439999999999999</v>
      </c>
      <c r="E35" s="1427">
        <v>0.91439999999999999</v>
      </c>
      <c r="F35" s="1427">
        <v>0.91439999999999999</v>
      </c>
      <c r="G35" s="1427">
        <v>0.91439999999999999</v>
      </c>
      <c r="H35" s="1427">
        <v>0.91439999999999999</v>
      </c>
      <c r="I35" s="1427">
        <v>0.78220000000000001</v>
      </c>
      <c r="J35" s="1427">
        <v>0.78220000000000001</v>
      </c>
      <c r="K35" s="1427">
        <v>0.78220000000000001</v>
      </c>
      <c r="L35" s="1427">
        <v>0.78220000000000001</v>
      </c>
      <c r="M35" s="1427">
        <v>0.78220000000000001</v>
      </c>
    </row>
    <row r="36" spans="1:13">
      <c r="A36" s="1441">
        <v>3.4</v>
      </c>
      <c r="B36" s="1427">
        <v>1.0073000000000001</v>
      </c>
      <c r="C36" s="1427">
        <v>1.0073000000000001</v>
      </c>
      <c r="D36" s="1427">
        <v>0.90629999999999999</v>
      </c>
      <c r="E36" s="1427">
        <v>0.90629999999999999</v>
      </c>
      <c r="F36" s="1427">
        <v>0.90629999999999999</v>
      </c>
      <c r="G36" s="1427">
        <v>0.90629999999999999</v>
      </c>
      <c r="H36" s="1427">
        <v>0.90629999999999999</v>
      </c>
      <c r="I36" s="1427">
        <v>0.77210000000000001</v>
      </c>
      <c r="J36" s="1427">
        <v>0.77210000000000001</v>
      </c>
      <c r="K36" s="1427">
        <v>0.77210000000000001</v>
      </c>
      <c r="L36" s="1427">
        <v>0.77210000000000001</v>
      </c>
      <c r="M36" s="1427">
        <v>0.77210000000000001</v>
      </c>
    </row>
    <row r="37" spans="1:13">
      <c r="A37" s="1441">
        <v>3.5</v>
      </c>
      <c r="B37" s="1427">
        <v>1</v>
      </c>
      <c r="C37" s="1427">
        <v>1</v>
      </c>
      <c r="D37" s="1427">
        <v>0.89870000000000005</v>
      </c>
      <c r="E37" s="1427">
        <v>0.89870000000000005</v>
      </c>
      <c r="F37" s="1427">
        <v>0.89870000000000005</v>
      </c>
      <c r="G37" s="1427">
        <v>0.89870000000000005</v>
      </c>
      <c r="H37" s="1427">
        <v>0.89870000000000005</v>
      </c>
      <c r="I37" s="1427">
        <v>0.76239999999999997</v>
      </c>
      <c r="J37" s="1427">
        <v>0.76239999999999997</v>
      </c>
      <c r="K37" s="1427">
        <v>0.76239999999999997</v>
      </c>
      <c r="L37" s="1427">
        <v>0.76239999999999997</v>
      </c>
      <c r="M37" s="1427">
        <v>0.76239999999999997</v>
      </c>
    </row>
    <row r="38" spans="1:13">
      <c r="A38" s="1441">
        <v>3.6</v>
      </c>
      <c r="B38" s="1427">
        <v>0.99329999999999996</v>
      </c>
      <c r="C38" s="1427">
        <v>0.99329999999999996</v>
      </c>
      <c r="D38" s="1427">
        <v>0.89139999999999997</v>
      </c>
      <c r="E38" s="1427">
        <v>0.89139999999999997</v>
      </c>
      <c r="F38" s="1427">
        <v>0.89139999999999997</v>
      </c>
      <c r="G38" s="1427">
        <v>0.89139999999999997</v>
      </c>
      <c r="H38" s="1427">
        <v>0.89139999999999997</v>
      </c>
      <c r="I38" s="1427">
        <v>0.75319999999999998</v>
      </c>
      <c r="J38" s="1427">
        <v>0.75319999999999998</v>
      </c>
      <c r="K38" s="1427">
        <v>0.75319999999999998</v>
      </c>
      <c r="L38" s="1427">
        <v>0.75319999999999998</v>
      </c>
      <c r="M38" s="1427">
        <v>0.75319999999999998</v>
      </c>
    </row>
    <row r="39" spans="1:13">
      <c r="A39" s="1441">
        <v>3.7</v>
      </c>
      <c r="B39" s="1427">
        <v>0.9869</v>
      </c>
      <c r="C39" s="1427">
        <v>0.9869</v>
      </c>
      <c r="D39" s="1427">
        <v>0.88449999999999995</v>
      </c>
      <c r="E39" s="1427">
        <v>0.88449999999999995</v>
      </c>
      <c r="F39" s="1427">
        <v>0.88449999999999995</v>
      </c>
      <c r="G39" s="1427">
        <v>0.88449999999999995</v>
      </c>
      <c r="H39" s="1427">
        <v>0.88449999999999995</v>
      </c>
      <c r="I39" s="1427">
        <v>0.74460000000000004</v>
      </c>
      <c r="J39" s="1427">
        <v>0.74460000000000004</v>
      </c>
      <c r="K39" s="1427">
        <v>0.74460000000000004</v>
      </c>
      <c r="L39" s="1427">
        <v>0.74460000000000004</v>
      </c>
      <c r="M39" s="1427">
        <v>0.74460000000000004</v>
      </c>
    </row>
    <row r="40" spans="1:13">
      <c r="A40" s="1441">
        <v>3.8</v>
      </c>
      <c r="B40" s="1427">
        <v>0.98080000000000001</v>
      </c>
      <c r="C40" s="1427">
        <v>0.98080000000000001</v>
      </c>
      <c r="D40" s="1427">
        <v>0.87809999999999999</v>
      </c>
      <c r="E40" s="1427">
        <v>0.87809999999999999</v>
      </c>
      <c r="F40" s="1427">
        <v>0.87809999999999999</v>
      </c>
      <c r="G40" s="1427">
        <v>0.87809999999999999</v>
      </c>
      <c r="H40" s="1427">
        <v>0.87809999999999999</v>
      </c>
      <c r="I40" s="1427">
        <v>0.73640000000000005</v>
      </c>
      <c r="J40" s="1427">
        <v>0.73640000000000005</v>
      </c>
      <c r="K40" s="1427">
        <v>0.73640000000000005</v>
      </c>
      <c r="L40" s="1427">
        <v>0.73640000000000005</v>
      </c>
      <c r="M40" s="1427">
        <v>0.73640000000000005</v>
      </c>
    </row>
    <row r="41" spans="1:13">
      <c r="A41" s="1441">
        <v>3.9</v>
      </c>
      <c r="B41" s="1427">
        <v>0.97509999999999997</v>
      </c>
      <c r="C41" s="1427">
        <v>0.97509999999999997</v>
      </c>
      <c r="D41" s="1427">
        <v>0.87209999999999999</v>
      </c>
      <c r="E41" s="1427">
        <v>0.87209999999999999</v>
      </c>
      <c r="F41" s="1427">
        <v>0.87209999999999999</v>
      </c>
      <c r="G41" s="1427">
        <v>0.87209999999999999</v>
      </c>
      <c r="H41" s="1427">
        <v>0.87209999999999999</v>
      </c>
      <c r="I41" s="1427">
        <v>0.7288</v>
      </c>
      <c r="J41" s="1427">
        <v>0.7288</v>
      </c>
      <c r="K41" s="1427">
        <v>0.7288</v>
      </c>
      <c r="L41" s="1427">
        <v>0.7288</v>
      </c>
      <c r="M41" s="1427">
        <v>0.7288</v>
      </c>
    </row>
    <row r="42" spans="1:13">
      <c r="A42" s="1441">
        <v>4</v>
      </c>
      <c r="B42" s="1427">
        <v>0.96989999999999998</v>
      </c>
      <c r="C42" s="1427">
        <v>0.96989999999999998</v>
      </c>
      <c r="D42" s="1427">
        <v>0.86650000000000005</v>
      </c>
      <c r="E42" s="1427">
        <v>0.86650000000000005</v>
      </c>
      <c r="F42" s="1427">
        <v>0.86650000000000005</v>
      </c>
      <c r="G42" s="1427">
        <v>0.86650000000000005</v>
      </c>
      <c r="H42" s="1427">
        <v>0.86650000000000005</v>
      </c>
      <c r="I42" s="1427">
        <v>0.7218</v>
      </c>
      <c r="J42" s="1427">
        <v>0.7218</v>
      </c>
      <c r="K42" s="1427">
        <v>0.7218</v>
      </c>
      <c r="L42" s="1427">
        <v>0.7218</v>
      </c>
      <c r="M42" s="1427">
        <v>0.7218</v>
      </c>
    </row>
    <row r="43" spans="1:13">
      <c r="A43" s="1441">
        <v>4.0999999999999996</v>
      </c>
      <c r="B43" s="1427">
        <v>0.96479999999999999</v>
      </c>
      <c r="C43" s="1427">
        <v>0.96479999999999999</v>
      </c>
      <c r="D43" s="1427">
        <v>0.86109999999999998</v>
      </c>
      <c r="E43" s="1427">
        <v>0.86109999999999998</v>
      </c>
      <c r="F43" s="1427">
        <v>0.86109999999999998</v>
      </c>
      <c r="G43" s="1427">
        <v>0.86109999999999998</v>
      </c>
      <c r="H43" s="1427">
        <v>0.86109999999999998</v>
      </c>
      <c r="I43" s="1427">
        <v>0.71499999999999997</v>
      </c>
      <c r="J43" s="1427">
        <v>0.71499999999999997</v>
      </c>
      <c r="K43" s="1427">
        <v>0.71499999999999997</v>
      </c>
      <c r="L43" s="1427">
        <v>0.71499999999999997</v>
      </c>
      <c r="M43" s="1427">
        <v>0.71499999999999997</v>
      </c>
    </row>
    <row r="44" spans="1:13">
      <c r="A44" s="1441">
        <v>4.2</v>
      </c>
      <c r="B44" s="1427">
        <v>0.96</v>
      </c>
      <c r="C44" s="1427">
        <v>0.96</v>
      </c>
      <c r="D44" s="1427">
        <v>0.85599999999999998</v>
      </c>
      <c r="E44" s="1427">
        <v>0.85599999999999998</v>
      </c>
      <c r="F44" s="1427">
        <v>0.85599999999999998</v>
      </c>
      <c r="G44" s="1427">
        <v>0.85599999999999998</v>
      </c>
      <c r="H44" s="1427">
        <v>0.85599999999999998</v>
      </c>
      <c r="I44" s="1427">
        <v>0.70840000000000003</v>
      </c>
      <c r="J44" s="1427">
        <v>0.70840000000000003</v>
      </c>
      <c r="K44" s="1427">
        <v>0.70840000000000003</v>
      </c>
      <c r="L44" s="1427">
        <v>0.70840000000000003</v>
      </c>
      <c r="M44" s="1427">
        <v>0.70840000000000003</v>
      </c>
    </row>
    <row r="45" spans="1:13">
      <c r="A45" s="1441">
        <v>4.3</v>
      </c>
      <c r="B45" s="1427">
        <v>0.95530000000000004</v>
      </c>
      <c r="C45" s="1427">
        <v>0.95530000000000004</v>
      </c>
      <c r="D45" s="1427">
        <v>0.85099999999999998</v>
      </c>
      <c r="E45" s="1427">
        <v>0.85099999999999998</v>
      </c>
      <c r="F45" s="1427">
        <v>0.85099999999999998</v>
      </c>
      <c r="G45" s="1427">
        <v>0.85099999999999998</v>
      </c>
      <c r="H45" s="1427">
        <v>0.85099999999999998</v>
      </c>
      <c r="I45" s="1427">
        <v>0.70199999999999996</v>
      </c>
      <c r="J45" s="1427">
        <v>0.70199999999999996</v>
      </c>
      <c r="K45" s="1427">
        <v>0.70199999999999996</v>
      </c>
      <c r="L45" s="1427">
        <v>0.70199999999999996</v>
      </c>
      <c r="M45" s="1427">
        <v>0.70199999999999996</v>
      </c>
    </row>
    <row r="46" spans="1:13">
      <c r="A46" s="1441">
        <v>4.4000000000000004</v>
      </c>
      <c r="B46" s="1427">
        <v>0.95079999999999998</v>
      </c>
      <c r="C46" s="1427">
        <v>0.95079999999999998</v>
      </c>
      <c r="D46" s="1427">
        <v>0.84619999999999995</v>
      </c>
      <c r="E46" s="1427">
        <v>0.84619999999999995</v>
      </c>
      <c r="F46" s="1427">
        <v>0.84619999999999995</v>
      </c>
      <c r="G46" s="1427">
        <v>0.84619999999999995</v>
      </c>
      <c r="H46" s="1427">
        <v>0.84619999999999995</v>
      </c>
      <c r="I46" s="1427">
        <v>0.69579999999999997</v>
      </c>
      <c r="J46" s="1427">
        <v>0.69579999999999997</v>
      </c>
      <c r="K46" s="1427">
        <v>0.69579999999999997</v>
      </c>
      <c r="L46" s="1427">
        <v>0.69579999999999997</v>
      </c>
      <c r="M46" s="1427">
        <v>0.69579999999999997</v>
      </c>
    </row>
    <row r="47" spans="1:13">
      <c r="A47" s="1441">
        <v>4.5</v>
      </c>
      <c r="B47" s="1427">
        <v>0.94640000000000002</v>
      </c>
      <c r="C47" s="1427">
        <v>0.94640000000000002</v>
      </c>
      <c r="D47" s="1427">
        <v>0.84150000000000003</v>
      </c>
      <c r="E47" s="1427">
        <v>0.84150000000000003</v>
      </c>
      <c r="F47" s="1427">
        <v>0.84150000000000003</v>
      </c>
      <c r="G47" s="1427">
        <v>0.84150000000000003</v>
      </c>
      <c r="H47" s="1427">
        <v>0.84150000000000003</v>
      </c>
      <c r="I47" s="1427">
        <v>0.68989999999999996</v>
      </c>
      <c r="J47" s="1427">
        <v>0.68989999999999996</v>
      </c>
      <c r="K47" s="1427">
        <v>0.68989999999999996</v>
      </c>
      <c r="L47" s="1427">
        <v>0.68989999999999996</v>
      </c>
      <c r="M47" s="1427">
        <v>0.68989999999999996</v>
      </c>
    </row>
    <row r="48" spans="1:13">
      <c r="A48" s="1441">
        <v>4.5999999999999996</v>
      </c>
      <c r="B48" s="1427">
        <v>0.94230000000000003</v>
      </c>
      <c r="C48" s="1427">
        <v>0.94230000000000003</v>
      </c>
      <c r="D48" s="1427">
        <v>0.83709999999999996</v>
      </c>
      <c r="E48" s="1427">
        <v>0.83709999999999996</v>
      </c>
      <c r="F48" s="1427">
        <v>0.83709999999999996</v>
      </c>
      <c r="G48" s="1427">
        <v>0.83709999999999996</v>
      </c>
      <c r="H48" s="1427">
        <v>0.83709999999999996</v>
      </c>
      <c r="I48" s="1427">
        <v>0.68430000000000002</v>
      </c>
      <c r="J48" s="1427">
        <v>0.68430000000000002</v>
      </c>
      <c r="K48" s="1427">
        <v>0.68430000000000002</v>
      </c>
      <c r="L48" s="1427">
        <v>0.68430000000000002</v>
      </c>
      <c r="M48" s="1427">
        <v>0.68430000000000002</v>
      </c>
    </row>
    <row r="49" spans="1:13">
      <c r="A49" s="1441">
        <v>4.7</v>
      </c>
      <c r="B49" s="1427">
        <v>0.93830000000000002</v>
      </c>
      <c r="C49" s="1427">
        <v>0.93830000000000002</v>
      </c>
      <c r="D49" s="1427">
        <v>0.83279999999999998</v>
      </c>
      <c r="E49" s="1427">
        <v>0.83279999999999998</v>
      </c>
      <c r="F49" s="1427">
        <v>0.83279999999999998</v>
      </c>
      <c r="G49" s="1427">
        <v>0.83279999999999998</v>
      </c>
      <c r="H49" s="1427">
        <v>0.83279999999999998</v>
      </c>
      <c r="I49" s="1427">
        <v>0.67879999999999996</v>
      </c>
      <c r="J49" s="1427">
        <v>0.67879999999999996</v>
      </c>
      <c r="K49" s="1427">
        <v>0.67879999999999996</v>
      </c>
      <c r="L49" s="1427">
        <v>0.67879999999999996</v>
      </c>
      <c r="M49" s="1427">
        <v>0.67879999999999996</v>
      </c>
    </row>
    <row r="50" spans="1:13">
      <c r="A50" s="1441">
        <v>4.8</v>
      </c>
      <c r="B50" s="1427">
        <v>0.9345</v>
      </c>
      <c r="C50" s="1427">
        <v>0.9345</v>
      </c>
      <c r="D50" s="1427">
        <v>0.82869999999999999</v>
      </c>
      <c r="E50" s="1427">
        <v>0.82869999999999999</v>
      </c>
      <c r="F50" s="1427">
        <v>0.82869999999999999</v>
      </c>
      <c r="G50" s="1427">
        <v>0.82869999999999999</v>
      </c>
      <c r="H50" s="1427">
        <v>0.82869999999999999</v>
      </c>
      <c r="I50" s="1427">
        <v>0.67359999999999998</v>
      </c>
      <c r="J50" s="1427">
        <v>0.67359999999999998</v>
      </c>
      <c r="K50" s="1427">
        <v>0.67359999999999998</v>
      </c>
      <c r="L50" s="1427">
        <v>0.67359999999999998</v>
      </c>
      <c r="M50" s="1427">
        <v>0.67359999999999998</v>
      </c>
    </row>
    <row r="51" spans="1:13">
      <c r="A51" s="1441">
        <v>4.9000000000000004</v>
      </c>
      <c r="B51" s="1427">
        <v>0.93079999999999996</v>
      </c>
      <c r="C51" s="1427">
        <v>0.93079999999999996</v>
      </c>
      <c r="D51" s="1427">
        <v>0.82479999999999998</v>
      </c>
      <c r="E51" s="1427">
        <v>0.82479999999999998</v>
      </c>
      <c r="F51" s="1427">
        <v>0.82479999999999998</v>
      </c>
      <c r="G51" s="1427">
        <v>0.82479999999999998</v>
      </c>
      <c r="H51" s="1427">
        <v>0.82479999999999998</v>
      </c>
      <c r="I51" s="1427">
        <v>0.66849999999999998</v>
      </c>
      <c r="J51" s="1427">
        <v>0.66849999999999998</v>
      </c>
      <c r="K51" s="1427">
        <v>0.66849999999999998</v>
      </c>
      <c r="L51" s="1427">
        <v>0.66849999999999998</v>
      </c>
      <c r="M51" s="1427">
        <v>0.66849999999999998</v>
      </c>
    </row>
    <row r="52" spans="1:13">
      <c r="A52" s="1441">
        <v>5</v>
      </c>
      <c r="B52" s="1427">
        <v>0.9274</v>
      </c>
      <c r="C52" s="1427">
        <v>0.9274</v>
      </c>
      <c r="D52" s="1427">
        <v>0.82110000000000005</v>
      </c>
      <c r="E52" s="1427">
        <v>0.82110000000000005</v>
      </c>
      <c r="F52" s="1427">
        <v>0.82110000000000005</v>
      </c>
      <c r="G52" s="1427">
        <v>0.82110000000000005</v>
      </c>
      <c r="H52" s="1427">
        <v>0.82110000000000005</v>
      </c>
      <c r="I52" s="1427">
        <v>0.66369999999999996</v>
      </c>
      <c r="J52" s="1427">
        <v>0.66369999999999996</v>
      </c>
      <c r="K52" s="1427">
        <v>0.66369999999999996</v>
      </c>
      <c r="L52" s="1427">
        <v>0.66369999999999996</v>
      </c>
      <c r="M52" s="1427">
        <v>0.66369999999999996</v>
      </c>
    </row>
    <row r="53" spans="1:13">
      <c r="A53" s="1418">
        <v>5.0999999999999996</v>
      </c>
      <c r="B53" s="1427">
        <v>0.92410000000000003</v>
      </c>
      <c r="C53" s="1427">
        <v>0.92410000000000003</v>
      </c>
      <c r="D53" s="1427">
        <v>0.8175</v>
      </c>
      <c r="E53" s="1427">
        <v>0.8175</v>
      </c>
      <c r="F53" s="1427">
        <v>0.8175</v>
      </c>
      <c r="G53" s="1427">
        <v>0.8175</v>
      </c>
      <c r="H53" s="1427">
        <v>0.8175</v>
      </c>
      <c r="I53" s="1427">
        <v>0.65900000000000003</v>
      </c>
      <c r="J53" s="1427">
        <v>0.65900000000000003</v>
      </c>
      <c r="K53" s="1427">
        <v>0.65900000000000003</v>
      </c>
      <c r="L53" s="1427">
        <v>0.65900000000000003</v>
      </c>
      <c r="M53" s="1427">
        <v>0.65900000000000003</v>
      </c>
    </row>
    <row r="54" spans="1:13">
      <c r="A54" s="1418">
        <v>5.2</v>
      </c>
      <c r="B54" s="1427">
        <v>0.92090000000000005</v>
      </c>
      <c r="C54" s="1427">
        <v>0.92090000000000005</v>
      </c>
      <c r="D54" s="1427">
        <v>0.81399999999999995</v>
      </c>
      <c r="E54" s="1427">
        <v>0.81399999999999995</v>
      </c>
      <c r="F54" s="1427">
        <v>0.81399999999999995</v>
      </c>
      <c r="G54" s="1427">
        <v>0.81399999999999995</v>
      </c>
      <c r="H54" s="1427">
        <v>0.81399999999999995</v>
      </c>
      <c r="I54" s="1427">
        <v>0.65449999999999997</v>
      </c>
      <c r="J54" s="1427">
        <v>0.65449999999999997</v>
      </c>
      <c r="K54" s="1427">
        <v>0.65449999999999997</v>
      </c>
      <c r="L54" s="1427">
        <v>0.65449999999999997</v>
      </c>
      <c r="M54" s="1427">
        <v>0.65449999999999997</v>
      </c>
    </row>
    <row r="55" spans="1:13">
      <c r="A55" s="1418">
        <v>5.3</v>
      </c>
      <c r="B55" s="1427">
        <v>0.91790000000000005</v>
      </c>
      <c r="C55" s="1427">
        <v>0.91790000000000005</v>
      </c>
      <c r="D55" s="1427">
        <v>0.81059999999999999</v>
      </c>
      <c r="E55" s="1427">
        <v>0.81059999999999999</v>
      </c>
      <c r="F55" s="1427">
        <v>0.81059999999999999</v>
      </c>
      <c r="G55" s="1427">
        <v>0.81059999999999999</v>
      </c>
      <c r="H55" s="1427">
        <v>0.81059999999999999</v>
      </c>
      <c r="I55" s="1427">
        <v>0.6502</v>
      </c>
      <c r="J55" s="1427">
        <v>0.6502</v>
      </c>
      <c r="K55" s="1427">
        <v>0.6502</v>
      </c>
      <c r="L55" s="1427">
        <v>0.6502</v>
      </c>
      <c r="M55" s="1427">
        <v>0.6502</v>
      </c>
    </row>
    <row r="56" spans="1:13">
      <c r="A56" s="1418">
        <v>5.4</v>
      </c>
      <c r="B56" s="1427">
        <v>0.91490000000000005</v>
      </c>
      <c r="C56" s="1427">
        <v>0.91490000000000005</v>
      </c>
      <c r="D56" s="1427">
        <v>0.80740000000000001</v>
      </c>
      <c r="E56" s="1427">
        <v>0.80740000000000001</v>
      </c>
      <c r="F56" s="1427">
        <v>0.80740000000000001</v>
      </c>
      <c r="G56" s="1427">
        <v>0.80740000000000001</v>
      </c>
      <c r="H56" s="1427">
        <v>0.80740000000000001</v>
      </c>
      <c r="I56" s="1427">
        <v>0.64590000000000003</v>
      </c>
      <c r="J56" s="1427">
        <v>0.64590000000000003</v>
      </c>
      <c r="K56" s="1427">
        <v>0.64590000000000003</v>
      </c>
      <c r="L56" s="1427">
        <v>0.64590000000000003</v>
      </c>
      <c r="M56" s="1427">
        <v>0.64590000000000003</v>
      </c>
    </row>
    <row r="57" spans="1:13">
      <c r="A57" s="1418">
        <v>5.5</v>
      </c>
      <c r="B57" s="1427">
        <v>0.91200000000000003</v>
      </c>
      <c r="C57" s="1427">
        <v>0.91200000000000003</v>
      </c>
      <c r="D57" s="1427">
        <v>0.80420000000000003</v>
      </c>
      <c r="E57" s="1427">
        <v>0.80420000000000003</v>
      </c>
      <c r="F57" s="1427">
        <v>0.80420000000000003</v>
      </c>
      <c r="G57" s="1427">
        <v>0.80420000000000003</v>
      </c>
      <c r="H57" s="1427">
        <v>0.80420000000000003</v>
      </c>
      <c r="I57" s="1427">
        <v>0.64180000000000004</v>
      </c>
      <c r="J57" s="1427">
        <v>0.64180000000000004</v>
      </c>
      <c r="K57" s="1427">
        <v>0.64180000000000004</v>
      </c>
      <c r="L57" s="1427">
        <v>0.64180000000000004</v>
      </c>
      <c r="M57" s="1427">
        <v>0.64180000000000004</v>
      </c>
    </row>
    <row r="58" spans="1:13">
      <c r="A58" s="1418">
        <v>5.6</v>
      </c>
      <c r="B58" s="1427">
        <v>0.90910000000000002</v>
      </c>
      <c r="C58" s="1427">
        <v>0.90910000000000002</v>
      </c>
      <c r="D58" s="1427">
        <v>0.80120000000000002</v>
      </c>
      <c r="E58" s="1427">
        <v>0.80120000000000002</v>
      </c>
      <c r="F58" s="1427">
        <v>0.80120000000000002</v>
      </c>
      <c r="G58" s="1427">
        <v>0.80120000000000002</v>
      </c>
      <c r="H58" s="1427">
        <v>0.80120000000000002</v>
      </c>
      <c r="I58" s="1427">
        <v>0.63790000000000002</v>
      </c>
      <c r="J58" s="1427">
        <v>0.63790000000000002</v>
      </c>
      <c r="K58" s="1427">
        <v>0.63790000000000002</v>
      </c>
      <c r="L58" s="1427">
        <v>0.63790000000000002</v>
      </c>
      <c r="M58" s="1427">
        <v>0.63790000000000002</v>
      </c>
    </row>
    <row r="59" spans="1:13">
      <c r="A59" s="1441">
        <v>5.7</v>
      </c>
      <c r="B59" s="1427">
        <v>0.90639999999999998</v>
      </c>
      <c r="C59" s="1427">
        <v>0.90639999999999998</v>
      </c>
      <c r="D59" s="1427">
        <v>0.79820000000000002</v>
      </c>
      <c r="E59" s="1427">
        <v>0.79820000000000002</v>
      </c>
      <c r="F59" s="1427">
        <v>0.79820000000000002</v>
      </c>
      <c r="G59" s="1427">
        <v>0.79820000000000002</v>
      </c>
      <c r="H59" s="1427">
        <v>0.79820000000000002</v>
      </c>
      <c r="I59" s="1427">
        <v>0.6341</v>
      </c>
      <c r="J59" s="1427">
        <v>0.6341</v>
      </c>
      <c r="K59" s="1427">
        <v>0.6341</v>
      </c>
      <c r="L59" s="1427">
        <v>0.6341</v>
      </c>
      <c r="M59" s="1427">
        <v>0.6341</v>
      </c>
    </row>
    <row r="60" spans="1:13">
      <c r="A60" s="1418">
        <v>5.8</v>
      </c>
      <c r="B60" s="1427">
        <v>0.90380000000000005</v>
      </c>
      <c r="C60" s="1427">
        <v>0.90380000000000005</v>
      </c>
      <c r="D60" s="1427">
        <v>0.7954</v>
      </c>
      <c r="E60" s="1427">
        <v>0.7954</v>
      </c>
      <c r="F60" s="1427">
        <v>0.7954</v>
      </c>
      <c r="G60" s="1427">
        <v>0.7954</v>
      </c>
      <c r="H60" s="1427">
        <v>0.7954</v>
      </c>
      <c r="I60" s="1427">
        <v>0.63039999999999996</v>
      </c>
      <c r="J60" s="1427">
        <v>0.63039999999999996</v>
      </c>
      <c r="K60" s="1427">
        <v>0.63039999999999996</v>
      </c>
      <c r="L60" s="1427">
        <v>0.63039999999999996</v>
      </c>
      <c r="M60" s="1427">
        <v>0.63039999999999996</v>
      </c>
    </row>
    <row r="61" spans="1:13">
      <c r="A61" s="1418">
        <v>5.9</v>
      </c>
      <c r="B61" s="1427">
        <v>0.90129999999999999</v>
      </c>
      <c r="C61" s="1427">
        <v>0.90129999999999999</v>
      </c>
      <c r="D61" s="1427">
        <v>0.79269999999999996</v>
      </c>
      <c r="E61" s="1427">
        <v>0.79269999999999996</v>
      </c>
      <c r="F61" s="1427">
        <v>0.79269999999999996</v>
      </c>
      <c r="G61" s="1427">
        <v>0.79269999999999996</v>
      </c>
      <c r="H61" s="1427">
        <v>0.79269999999999996</v>
      </c>
      <c r="I61" s="1427">
        <v>0.62690000000000001</v>
      </c>
      <c r="J61" s="1427">
        <v>0.62690000000000001</v>
      </c>
      <c r="K61" s="1427">
        <v>0.62690000000000001</v>
      </c>
      <c r="L61" s="1427">
        <v>0.62690000000000001</v>
      </c>
      <c r="M61" s="1427">
        <v>0.62690000000000001</v>
      </c>
    </row>
    <row r="62" spans="1:13">
      <c r="A62" s="1418">
        <v>6</v>
      </c>
      <c r="B62" s="1427">
        <v>0.89890000000000003</v>
      </c>
      <c r="C62" s="1427">
        <v>0.89890000000000003</v>
      </c>
      <c r="D62" s="1427">
        <v>0.79020000000000001</v>
      </c>
      <c r="E62" s="1427">
        <v>0.79020000000000001</v>
      </c>
      <c r="F62" s="1427">
        <v>0.79020000000000001</v>
      </c>
      <c r="G62" s="1427">
        <v>0.79020000000000001</v>
      </c>
      <c r="H62" s="1427">
        <v>0.79020000000000001</v>
      </c>
      <c r="I62" s="1427">
        <v>0.62350000000000005</v>
      </c>
      <c r="J62" s="1427">
        <v>0.62350000000000005</v>
      </c>
      <c r="K62" s="1427">
        <v>0.62350000000000005</v>
      </c>
      <c r="L62" s="1427">
        <v>0.62350000000000005</v>
      </c>
      <c r="M62" s="1427">
        <v>0.62350000000000005</v>
      </c>
    </row>
    <row r="63" spans="1:13">
      <c r="A63" s="1418">
        <v>6.1</v>
      </c>
      <c r="B63" s="1427">
        <v>0.89649999999999996</v>
      </c>
      <c r="C63" s="1427">
        <v>0.89649999999999996</v>
      </c>
      <c r="D63" s="1427">
        <v>0.78769999999999996</v>
      </c>
      <c r="E63" s="1427">
        <v>0.78769999999999996</v>
      </c>
      <c r="F63" s="1427">
        <v>0.78769999999999996</v>
      </c>
      <c r="G63" s="1427">
        <v>0.78769999999999996</v>
      </c>
      <c r="H63" s="1427">
        <v>0.78769999999999996</v>
      </c>
      <c r="I63" s="1427">
        <v>0.62029999999999996</v>
      </c>
      <c r="J63" s="1427">
        <v>0.62029999999999996</v>
      </c>
      <c r="K63" s="1427">
        <v>0.62029999999999996</v>
      </c>
      <c r="L63" s="1427">
        <v>0.62029999999999996</v>
      </c>
      <c r="M63" s="1427">
        <v>0.62029999999999996</v>
      </c>
    </row>
    <row r="64" spans="1:13">
      <c r="A64" s="1418">
        <v>6.2</v>
      </c>
      <c r="B64" s="1427">
        <v>0.89429999999999998</v>
      </c>
      <c r="C64" s="1427">
        <v>0.89429999999999998</v>
      </c>
      <c r="D64" s="1427">
        <v>0.78520000000000001</v>
      </c>
      <c r="E64" s="1427">
        <v>0.78520000000000001</v>
      </c>
      <c r="F64" s="1427">
        <v>0.78520000000000001</v>
      </c>
      <c r="G64" s="1427">
        <v>0.78520000000000001</v>
      </c>
      <c r="H64" s="1427">
        <v>0.78520000000000001</v>
      </c>
      <c r="I64" s="1427">
        <v>0.61719999999999997</v>
      </c>
      <c r="J64" s="1427">
        <v>0.61719999999999997</v>
      </c>
      <c r="K64" s="1427">
        <v>0.61719999999999997</v>
      </c>
      <c r="L64" s="1427">
        <v>0.61719999999999997</v>
      </c>
      <c r="M64" s="1427">
        <v>0.61719999999999997</v>
      </c>
    </row>
    <row r="65" spans="1:13">
      <c r="A65" s="1418">
        <v>6.3</v>
      </c>
      <c r="B65" s="1427">
        <v>0.89200000000000002</v>
      </c>
      <c r="C65" s="1427">
        <v>0.89200000000000002</v>
      </c>
      <c r="D65" s="1427">
        <v>0.78280000000000005</v>
      </c>
      <c r="E65" s="1427">
        <v>0.78280000000000005</v>
      </c>
      <c r="F65" s="1427">
        <v>0.78280000000000005</v>
      </c>
      <c r="G65" s="1427">
        <v>0.78280000000000005</v>
      </c>
      <c r="H65" s="1427">
        <v>0.78280000000000005</v>
      </c>
      <c r="I65" s="1427">
        <v>0.61409999999999998</v>
      </c>
      <c r="J65" s="1427">
        <v>0.61409999999999998</v>
      </c>
      <c r="K65" s="1427">
        <v>0.61409999999999998</v>
      </c>
      <c r="L65" s="1427">
        <v>0.61409999999999998</v>
      </c>
      <c r="M65" s="1427">
        <v>0.61409999999999998</v>
      </c>
    </row>
    <row r="66" spans="1:13">
      <c r="A66" s="1418">
        <v>6.4</v>
      </c>
      <c r="B66" s="1427">
        <v>0.88990000000000002</v>
      </c>
      <c r="C66" s="1427">
        <v>0.88990000000000002</v>
      </c>
      <c r="D66" s="1427">
        <v>0.78039999999999998</v>
      </c>
      <c r="E66" s="1427">
        <v>0.78039999999999998</v>
      </c>
      <c r="F66" s="1427">
        <v>0.78039999999999998</v>
      </c>
      <c r="G66" s="1427">
        <v>0.78039999999999998</v>
      </c>
      <c r="H66" s="1427">
        <v>0.78039999999999998</v>
      </c>
      <c r="I66" s="1427">
        <v>0.61099999999999999</v>
      </c>
      <c r="J66" s="1427">
        <v>0.61099999999999999</v>
      </c>
      <c r="K66" s="1427">
        <v>0.61099999999999999</v>
      </c>
      <c r="L66" s="1427">
        <v>0.61099999999999999</v>
      </c>
      <c r="M66" s="1427">
        <v>0.61099999999999999</v>
      </c>
    </row>
    <row r="67" spans="1:13">
      <c r="A67" s="1418">
        <v>6.5</v>
      </c>
      <c r="B67" s="1427">
        <v>0.88780000000000003</v>
      </c>
      <c r="C67" s="1427">
        <v>0.88780000000000003</v>
      </c>
      <c r="D67" s="1427">
        <v>0.77810000000000001</v>
      </c>
      <c r="E67" s="1427">
        <v>0.77810000000000001</v>
      </c>
      <c r="F67" s="1427">
        <v>0.77810000000000001</v>
      </c>
      <c r="G67" s="1427">
        <v>0.77810000000000001</v>
      </c>
      <c r="H67" s="1427">
        <v>0.77810000000000001</v>
      </c>
      <c r="I67" s="1427">
        <v>0.60799999999999998</v>
      </c>
      <c r="J67" s="1427">
        <v>0.60799999999999998</v>
      </c>
      <c r="K67" s="1427">
        <v>0.60799999999999998</v>
      </c>
      <c r="L67" s="1427">
        <v>0.60799999999999998</v>
      </c>
      <c r="M67" s="1427">
        <v>0.60799999999999998</v>
      </c>
    </row>
    <row r="68" spans="1:13">
      <c r="A68" s="1418">
        <v>6.6</v>
      </c>
      <c r="B68" s="1427">
        <v>0.88580000000000003</v>
      </c>
      <c r="C68" s="1427">
        <v>0.88580000000000003</v>
      </c>
      <c r="D68" s="1427">
        <v>0.77580000000000005</v>
      </c>
      <c r="E68" s="1427">
        <v>0.77580000000000005</v>
      </c>
      <c r="F68" s="1427">
        <v>0.77580000000000005</v>
      </c>
      <c r="G68" s="1427">
        <v>0.77580000000000005</v>
      </c>
      <c r="H68" s="1427">
        <v>0.77580000000000005</v>
      </c>
      <c r="I68" s="1427">
        <v>0.60499999999999998</v>
      </c>
      <c r="J68" s="1427">
        <v>0.60499999999999998</v>
      </c>
      <c r="K68" s="1427">
        <v>0.60499999999999998</v>
      </c>
      <c r="L68" s="1427">
        <v>0.60499999999999998</v>
      </c>
      <c r="M68" s="1427">
        <v>0.60499999999999998</v>
      </c>
    </row>
    <row r="69" spans="1:13">
      <c r="A69" s="1418">
        <v>6.7</v>
      </c>
      <c r="B69" s="1427">
        <v>0.88380000000000003</v>
      </c>
      <c r="C69" s="1427">
        <v>0.88380000000000003</v>
      </c>
      <c r="D69" s="1427">
        <v>0.77359999999999995</v>
      </c>
      <c r="E69" s="1427">
        <v>0.77359999999999995</v>
      </c>
      <c r="F69" s="1427">
        <v>0.77359999999999995</v>
      </c>
      <c r="G69" s="1427">
        <v>0.77359999999999995</v>
      </c>
      <c r="H69" s="1427">
        <v>0.77359999999999995</v>
      </c>
      <c r="I69" s="1427">
        <v>0.60209999999999997</v>
      </c>
      <c r="J69" s="1427">
        <v>0.60209999999999997</v>
      </c>
      <c r="K69" s="1427">
        <v>0.60209999999999997</v>
      </c>
      <c r="L69" s="1427">
        <v>0.60209999999999997</v>
      </c>
      <c r="M69" s="1427">
        <v>0.60209999999999997</v>
      </c>
    </row>
    <row r="70" spans="1:13">
      <c r="A70" s="1418">
        <v>6.8</v>
      </c>
      <c r="B70" s="1427">
        <v>0.88190000000000002</v>
      </c>
      <c r="C70" s="1427">
        <v>0.88190000000000002</v>
      </c>
      <c r="D70" s="1427">
        <v>0.77159999999999995</v>
      </c>
      <c r="E70" s="1427">
        <v>0.77159999999999995</v>
      </c>
      <c r="F70" s="1427">
        <v>0.77159999999999995</v>
      </c>
      <c r="G70" s="1427">
        <v>0.77159999999999995</v>
      </c>
      <c r="H70" s="1427">
        <v>0.77159999999999995</v>
      </c>
      <c r="I70" s="1427">
        <v>0.59930000000000005</v>
      </c>
      <c r="J70" s="1427">
        <v>0.59930000000000005</v>
      </c>
      <c r="K70" s="1427">
        <v>0.59930000000000005</v>
      </c>
      <c r="L70" s="1427">
        <v>0.59930000000000005</v>
      </c>
      <c r="M70" s="1427">
        <v>0.59930000000000005</v>
      </c>
    </row>
    <row r="71" spans="1:13">
      <c r="A71" s="1418">
        <v>6.9</v>
      </c>
      <c r="B71" s="1427">
        <v>0.88</v>
      </c>
      <c r="C71" s="1427">
        <v>0.88</v>
      </c>
      <c r="D71" s="1427">
        <v>0.76949999999999996</v>
      </c>
      <c r="E71" s="1427">
        <v>0.76949999999999996</v>
      </c>
      <c r="F71" s="1427">
        <v>0.76949999999999996</v>
      </c>
      <c r="G71" s="1427">
        <v>0.76949999999999996</v>
      </c>
      <c r="H71" s="1427">
        <v>0.76949999999999996</v>
      </c>
      <c r="I71" s="1427">
        <v>0.59640000000000004</v>
      </c>
      <c r="J71" s="1427">
        <v>0.59640000000000004</v>
      </c>
      <c r="K71" s="1427">
        <v>0.59640000000000004</v>
      </c>
      <c r="L71" s="1427">
        <v>0.59640000000000004</v>
      </c>
      <c r="M71" s="1427">
        <v>0.59640000000000004</v>
      </c>
    </row>
    <row r="72" spans="1:13">
      <c r="A72" s="1418">
        <v>7</v>
      </c>
      <c r="B72" s="1427">
        <v>0.87819999999999998</v>
      </c>
      <c r="C72" s="1427">
        <v>0.87819999999999998</v>
      </c>
      <c r="D72" s="1427">
        <v>0.76749999999999996</v>
      </c>
      <c r="E72" s="1427">
        <v>0.76749999999999996</v>
      </c>
      <c r="F72" s="1427">
        <v>0.76749999999999996</v>
      </c>
      <c r="G72" s="1427">
        <v>0.76749999999999996</v>
      </c>
      <c r="H72" s="1427">
        <v>0.76749999999999996</v>
      </c>
      <c r="I72" s="1427">
        <v>0.59360000000000002</v>
      </c>
      <c r="J72" s="1427">
        <v>0.59360000000000002</v>
      </c>
      <c r="K72" s="1427">
        <v>0.59360000000000002</v>
      </c>
      <c r="L72" s="1427">
        <v>0.59360000000000002</v>
      </c>
      <c r="M72" s="1427">
        <v>0.59360000000000002</v>
      </c>
    </row>
    <row r="73" spans="1:13">
      <c r="A73" s="1418">
        <v>7.1</v>
      </c>
      <c r="B73" s="1427">
        <v>0.87660000000000005</v>
      </c>
      <c r="C73" s="1427">
        <v>0.87660000000000005</v>
      </c>
      <c r="D73" s="1427">
        <v>0.76570000000000005</v>
      </c>
      <c r="E73" s="1427">
        <v>0.76570000000000005</v>
      </c>
      <c r="F73" s="1427">
        <v>0.76570000000000005</v>
      </c>
      <c r="G73" s="1427">
        <v>0.76570000000000005</v>
      </c>
      <c r="H73" s="1427">
        <v>0.76570000000000005</v>
      </c>
      <c r="I73" s="1427">
        <v>0.59109999999999996</v>
      </c>
      <c r="J73" s="1427">
        <v>0.59109999999999996</v>
      </c>
      <c r="K73" s="1427">
        <v>0.59109999999999996</v>
      </c>
      <c r="L73" s="1427">
        <v>0.59109999999999996</v>
      </c>
      <c r="M73" s="1427">
        <v>0.59109999999999996</v>
      </c>
    </row>
    <row r="74" spans="1:13">
      <c r="A74" s="1418">
        <v>7.2</v>
      </c>
      <c r="B74" s="1427">
        <v>0.87490000000000001</v>
      </c>
      <c r="C74" s="1427">
        <v>0.87490000000000001</v>
      </c>
      <c r="D74" s="1427">
        <v>0.76380000000000003</v>
      </c>
      <c r="E74" s="1427">
        <v>0.76380000000000003</v>
      </c>
      <c r="F74" s="1427">
        <v>0.76380000000000003</v>
      </c>
      <c r="G74" s="1427">
        <v>0.76380000000000003</v>
      </c>
      <c r="H74" s="1427">
        <v>0.76380000000000003</v>
      </c>
      <c r="I74" s="1427">
        <v>0.58860000000000001</v>
      </c>
      <c r="J74" s="1427">
        <v>0.58860000000000001</v>
      </c>
      <c r="K74" s="1427">
        <v>0.58860000000000001</v>
      </c>
      <c r="L74" s="1427">
        <v>0.58860000000000001</v>
      </c>
      <c r="M74" s="1427">
        <v>0.58860000000000001</v>
      </c>
    </row>
    <row r="75" spans="1:13">
      <c r="A75" s="1418">
        <v>7.3</v>
      </c>
      <c r="B75" s="1427">
        <v>0.87329999999999997</v>
      </c>
      <c r="C75" s="1427">
        <v>0.87329999999999997</v>
      </c>
      <c r="D75" s="1427">
        <v>0.76200000000000001</v>
      </c>
      <c r="E75" s="1427">
        <v>0.76200000000000001</v>
      </c>
      <c r="F75" s="1427">
        <v>0.76200000000000001</v>
      </c>
      <c r="G75" s="1427">
        <v>0.76200000000000001</v>
      </c>
      <c r="H75" s="1427">
        <v>0.76200000000000001</v>
      </c>
      <c r="I75" s="1427">
        <v>0.58620000000000005</v>
      </c>
      <c r="J75" s="1427">
        <v>0.58620000000000005</v>
      </c>
      <c r="K75" s="1427">
        <v>0.58620000000000005</v>
      </c>
      <c r="L75" s="1427">
        <v>0.58620000000000005</v>
      </c>
      <c r="M75" s="1427">
        <v>0.58620000000000005</v>
      </c>
    </row>
    <row r="76" spans="1:13">
      <c r="A76" s="1418">
        <v>7.4</v>
      </c>
      <c r="B76" s="1427">
        <v>0.87160000000000004</v>
      </c>
      <c r="C76" s="1427">
        <v>0.87160000000000004</v>
      </c>
      <c r="D76" s="1427">
        <v>0.76029999999999998</v>
      </c>
      <c r="E76" s="1427">
        <v>0.76029999999999998</v>
      </c>
      <c r="F76" s="1427">
        <v>0.76029999999999998</v>
      </c>
      <c r="G76" s="1427">
        <v>0.76029999999999998</v>
      </c>
      <c r="H76" s="1427">
        <v>0.76029999999999998</v>
      </c>
      <c r="I76" s="1427">
        <v>0.58379999999999999</v>
      </c>
      <c r="J76" s="1427">
        <v>0.58379999999999999</v>
      </c>
      <c r="K76" s="1427">
        <v>0.58379999999999999</v>
      </c>
      <c r="L76" s="1427">
        <v>0.58379999999999999</v>
      </c>
      <c r="M76" s="1427">
        <v>0.58379999999999999</v>
      </c>
    </row>
    <row r="77" spans="1:13">
      <c r="A77" s="1418">
        <v>7.5</v>
      </c>
      <c r="B77" s="1427">
        <v>0.87</v>
      </c>
      <c r="C77" s="1427">
        <v>0.87</v>
      </c>
      <c r="D77" s="1427">
        <v>0.75849999999999995</v>
      </c>
      <c r="E77" s="1427">
        <v>0.75849999999999995</v>
      </c>
      <c r="F77" s="1427">
        <v>0.75849999999999995</v>
      </c>
      <c r="G77" s="1427">
        <v>0.75849999999999995</v>
      </c>
      <c r="H77" s="1427">
        <v>0.75849999999999995</v>
      </c>
      <c r="I77" s="1427">
        <v>0.58140000000000003</v>
      </c>
      <c r="J77" s="1427">
        <v>0.58140000000000003</v>
      </c>
      <c r="K77" s="1427">
        <v>0.58140000000000003</v>
      </c>
      <c r="L77" s="1427">
        <v>0.58140000000000003</v>
      </c>
      <c r="M77" s="1427">
        <v>0.58140000000000003</v>
      </c>
    </row>
    <row r="78" spans="1:13">
      <c r="A78" s="1418">
        <v>7.6</v>
      </c>
      <c r="B78" s="1427">
        <v>0.86839999999999995</v>
      </c>
      <c r="C78" s="1427">
        <v>0.86839999999999995</v>
      </c>
      <c r="D78" s="1427">
        <v>0.75680000000000003</v>
      </c>
      <c r="E78" s="1427">
        <v>0.75680000000000003</v>
      </c>
      <c r="F78" s="1427">
        <v>0.75680000000000003</v>
      </c>
      <c r="G78" s="1427">
        <v>0.75680000000000003</v>
      </c>
      <c r="H78" s="1427">
        <v>0.75680000000000003</v>
      </c>
      <c r="I78" s="1427">
        <v>0.57899999999999996</v>
      </c>
      <c r="J78" s="1427">
        <v>0.57899999999999996</v>
      </c>
      <c r="K78" s="1427">
        <v>0.57899999999999996</v>
      </c>
      <c r="L78" s="1427">
        <v>0.57899999999999996</v>
      </c>
      <c r="M78" s="1427">
        <v>0.57899999999999996</v>
      </c>
    </row>
    <row r="79" spans="1:13">
      <c r="A79" s="1418">
        <v>7.7</v>
      </c>
      <c r="B79" s="1427">
        <v>0.8669</v>
      </c>
      <c r="C79" s="1427">
        <v>0.8669</v>
      </c>
      <c r="D79" s="1427">
        <v>0.755</v>
      </c>
      <c r="E79" s="1427">
        <v>0.755</v>
      </c>
      <c r="F79" s="1427">
        <v>0.755</v>
      </c>
      <c r="G79" s="1427">
        <v>0.755</v>
      </c>
      <c r="H79" s="1427">
        <v>0.755</v>
      </c>
      <c r="I79" s="1427">
        <v>0.57669999999999999</v>
      </c>
      <c r="J79" s="1427">
        <v>0.57669999999999999</v>
      </c>
      <c r="K79" s="1427">
        <v>0.57669999999999999</v>
      </c>
      <c r="L79" s="1427">
        <v>0.57669999999999999</v>
      </c>
      <c r="M79" s="1427">
        <v>0.57669999999999999</v>
      </c>
    </row>
    <row r="80" spans="1:13">
      <c r="A80" s="1418">
        <v>7.8</v>
      </c>
      <c r="B80" s="1427">
        <v>0.86539999999999995</v>
      </c>
      <c r="C80" s="1427">
        <v>0.86539999999999995</v>
      </c>
      <c r="D80" s="1427">
        <v>0.75329999999999997</v>
      </c>
      <c r="E80" s="1427">
        <v>0.75329999999999997</v>
      </c>
      <c r="F80" s="1427">
        <v>0.75329999999999997</v>
      </c>
      <c r="G80" s="1427">
        <v>0.75329999999999997</v>
      </c>
      <c r="H80" s="1427">
        <v>0.75329999999999997</v>
      </c>
      <c r="I80" s="1427">
        <v>0.57450000000000001</v>
      </c>
      <c r="J80" s="1427">
        <v>0.57450000000000001</v>
      </c>
      <c r="K80" s="1427">
        <v>0.57450000000000001</v>
      </c>
      <c r="L80" s="1427">
        <v>0.57450000000000001</v>
      </c>
      <c r="M80" s="1427">
        <v>0.57450000000000001</v>
      </c>
    </row>
    <row r="81" spans="1:13">
      <c r="A81" s="1418">
        <v>7.9</v>
      </c>
      <c r="B81" s="1427">
        <v>0.86380000000000001</v>
      </c>
      <c r="C81" s="1427">
        <v>0.86380000000000001</v>
      </c>
      <c r="D81" s="1427">
        <v>0.75170000000000003</v>
      </c>
      <c r="E81" s="1427">
        <v>0.75170000000000003</v>
      </c>
      <c r="F81" s="1427">
        <v>0.75170000000000003</v>
      </c>
      <c r="G81" s="1427">
        <v>0.75170000000000003</v>
      </c>
      <c r="H81" s="1427">
        <v>0.75170000000000003</v>
      </c>
      <c r="I81" s="1427">
        <v>0.57220000000000004</v>
      </c>
      <c r="J81" s="1427">
        <v>0.57220000000000004</v>
      </c>
      <c r="K81" s="1427">
        <v>0.57220000000000004</v>
      </c>
      <c r="L81" s="1427">
        <v>0.57220000000000004</v>
      </c>
      <c r="M81" s="1427">
        <v>0.57220000000000004</v>
      </c>
    </row>
    <row r="82" spans="1:13">
      <c r="A82" s="1418">
        <v>8</v>
      </c>
      <c r="B82" s="1427">
        <v>0.86240000000000006</v>
      </c>
      <c r="C82" s="1427">
        <v>0.86240000000000006</v>
      </c>
      <c r="D82" s="1427">
        <v>0.75</v>
      </c>
      <c r="E82" s="1427">
        <v>0.75</v>
      </c>
      <c r="F82" s="1427">
        <v>0.75</v>
      </c>
      <c r="G82" s="1427">
        <v>0.75</v>
      </c>
      <c r="H82" s="1427">
        <v>0.75</v>
      </c>
      <c r="I82" s="1427">
        <v>0.56989999999999996</v>
      </c>
      <c r="J82" s="1427">
        <v>0.56989999999999996</v>
      </c>
      <c r="K82" s="1427">
        <v>0.56989999999999996</v>
      </c>
      <c r="L82" s="1427">
        <v>0.56989999999999996</v>
      </c>
      <c r="M82" s="1427">
        <v>0.56989999999999996</v>
      </c>
    </row>
    <row r="83" spans="1:13">
      <c r="A83" s="1418">
        <v>8.1</v>
      </c>
      <c r="B83" s="1427">
        <v>0.86099999999999999</v>
      </c>
      <c r="C83" s="1427">
        <v>0.86099999999999999</v>
      </c>
      <c r="D83" s="1427">
        <v>0.74850000000000005</v>
      </c>
      <c r="E83" s="1427">
        <v>0.74850000000000005</v>
      </c>
      <c r="F83" s="1427">
        <v>0.74850000000000005</v>
      </c>
      <c r="G83" s="1427">
        <v>0.74850000000000005</v>
      </c>
      <c r="H83" s="1427">
        <v>0.74850000000000005</v>
      </c>
      <c r="I83" s="1427">
        <v>0.56779999999999997</v>
      </c>
      <c r="J83" s="1427">
        <v>0.56779999999999997</v>
      </c>
      <c r="K83" s="1427">
        <v>0.56779999999999997</v>
      </c>
      <c r="L83" s="1427">
        <v>0.56779999999999997</v>
      </c>
      <c r="M83" s="1427">
        <v>0.56779999999999997</v>
      </c>
    </row>
    <row r="84" spans="1:13">
      <c r="A84" s="1418">
        <v>8.1999999999999993</v>
      </c>
      <c r="B84" s="1427">
        <v>0.85970000000000002</v>
      </c>
      <c r="C84" s="1427">
        <v>0.85970000000000002</v>
      </c>
      <c r="D84" s="1427">
        <v>0.747</v>
      </c>
      <c r="E84" s="1427">
        <v>0.747</v>
      </c>
      <c r="F84" s="1427">
        <v>0.747</v>
      </c>
      <c r="G84" s="1427">
        <v>0.747</v>
      </c>
      <c r="H84" s="1427">
        <v>0.747</v>
      </c>
      <c r="I84" s="1427">
        <v>0.56589999999999996</v>
      </c>
      <c r="J84" s="1427">
        <v>0.56589999999999996</v>
      </c>
      <c r="K84" s="1427">
        <v>0.56589999999999996</v>
      </c>
      <c r="L84" s="1427">
        <v>0.56589999999999996</v>
      </c>
      <c r="M84" s="1427">
        <v>0.56589999999999996</v>
      </c>
    </row>
    <row r="85" spans="1:13">
      <c r="A85" s="1418">
        <v>8.3000000000000007</v>
      </c>
      <c r="B85" s="1427">
        <v>0.85840000000000005</v>
      </c>
      <c r="C85" s="1427">
        <v>0.85840000000000005</v>
      </c>
      <c r="D85" s="1427">
        <v>0.74560000000000004</v>
      </c>
      <c r="E85" s="1427">
        <v>0.74560000000000004</v>
      </c>
      <c r="F85" s="1427">
        <v>0.74560000000000004</v>
      </c>
      <c r="G85" s="1427">
        <v>0.74560000000000004</v>
      </c>
      <c r="H85" s="1427">
        <v>0.74560000000000004</v>
      </c>
      <c r="I85" s="1427">
        <v>0.56389999999999996</v>
      </c>
      <c r="J85" s="1427">
        <v>0.56389999999999996</v>
      </c>
      <c r="K85" s="1427">
        <v>0.56389999999999996</v>
      </c>
      <c r="L85" s="1427">
        <v>0.56389999999999996</v>
      </c>
      <c r="M85" s="1427">
        <v>0.56389999999999996</v>
      </c>
    </row>
    <row r="86" spans="1:13">
      <c r="A86" s="1418">
        <v>8.4</v>
      </c>
      <c r="B86" s="1427">
        <v>0.85709999999999997</v>
      </c>
      <c r="C86" s="1427">
        <v>0.85709999999999997</v>
      </c>
      <c r="D86" s="1427">
        <v>0.74419999999999997</v>
      </c>
      <c r="E86" s="1427">
        <v>0.74419999999999997</v>
      </c>
      <c r="F86" s="1427">
        <v>0.74419999999999997</v>
      </c>
      <c r="G86" s="1427">
        <v>0.74419999999999997</v>
      </c>
      <c r="H86" s="1427">
        <v>0.74419999999999997</v>
      </c>
      <c r="I86" s="1427">
        <v>0.56189999999999996</v>
      </c>
      <c r="J86" s="1427">
        <v>0.56189999999999996</v>
      </c>
      <c r="K86" s="1427">
        <v>0.56189999999999996</v>
      </c>
      <c r="L86" s="1427">
        <v>0.56189999999999996</v>
      </c>
      <c r="M86" s="1427">
        <v>0.56189999999999996</v>
      </c>
    </row>
    <row r="87" spans="1:13">
      <c r="A87" s="1418">
        <v>8.5</v>
      </c>
      <c r="B87" s="1427">
        <v>0.85580000000000001</v>
      </c>
      <c r="C87" s="1427">
        <v>0.85580000000000001</v>
      </c>
      <c r="D87" s="1427">
        <v>0.74270000000000003</v>
      </c>
      <c r="E87" s="1427">
        <v>0.74270000000000003</v>
      </c>
      <c r="F87" s="1427">
        <v>0.74270000000000003</v>
      </c>
      <c r="G87" s="1427">
        <v>0.74270000000000003</v>
      </c>
      <c r="H87" s="1427">
        <v>0.74270000000000003</v>
      </c>
      <c r="I87" s="1427">
        <v>0.55989999999999995</v>
      </c>
      <c r="J87" s="1427">
        <v>0.55989999999999995</v>
      </c>
      <c r="K87" s="1427">
        <v>0.55989999999999995</v>
      </c>
      <c r="L87" s="1427">
        <v>0.55989999999999995</v>
      </c>
      <c r="M87" s="1427">
        <v>0.55989999999999995</v>
      </c>
    </row>
    <row r="88" spans="1:13">
      <c r="A88" s="1418">
        <v>8.6</v>
      </c>
      <c r="B88" s="1427">
        <v>0.85450000000000004</v>
      </c>
      <c r="C88" s="1427">
        <v>0.85450000000000004</v>
      </c>
      <c r="D88" s="1427">
        <v>0.74129999999999996</v>
      </c>
      <c r="E88" s="1427">
        <v>0.74129999999999996</v>
      </c>
      <c r="F88" s="1427">
        <v>0.74129999999999996</v>
      </c>
      <c r="G88" s="1427">
        <v>0.74129999999999996</v>
      </c>
      <c r="H88" s="1427">
        <v>0.74129999999999996</v>
      </c>
      <c r="I88" s="1427">
        <v>0.55800000000000005</v>
      </c>
      <c r="J88" s="1427">
        <v>0.55800000000000005</v>
      </c>
      <c r="K88" s="1427">
        <v>0.55800000000000005</v>
      </c>
      <c r="L88" s="1427">
        <v>0.55800000000000005</v>
      </c>
      <c r="M88" s="1427">
        <v>0.55800000000000005</v>
      </c>
    </row>
    <row r="89" spans="1:13">
      <c r="A89" s="1418">
        <v>8.6999999999999993</v>
      </c>
      <c r="B89" s="1427">
        <v>0.85329999999999995</v>
      </c>
      <c r="C89" s="1427">
        <v>0.85329999999999995</v>
      </c>
      <c r="D89" s="1427">
        <v>0.7399</v>
      </c>
      <c r="E89" s="1427">
        <v>0.7399</v>
      </c>
      <c r="F89" s="1427">
        <v>0.7399</v>
      </c>
      <c r="G89" s="1427">
        <v>0.7399</v>
      </c>
      <c r="H89" s="1427">
        <v>0.7399</v>
      </c>
      <c r="I89" s="1427">
        <v>0.55600000000000005</v>
      </c>
      <c r="J89" s="1427">
        <v>0.55600000000000005</v>
      </c>
      <c r="K89" s="1427">
        <v>0.55600000000000005</v>
      </c>
      <c r="L89" s="1427">
        <v>0.55600000000000005</v>
      </c>
      <c r="M89" s="1427">
        <v>0.55600000000000005</v>
      </c>
    </row>
    <row r="90" spans="1:13">
      <c r="A90" s="1418">
        <v>8.8000000000000007</v>
      </c>
      <c r="B90" s="1427">
        <v>0.85209999999999997</v>
      </c>
      <c r="C90" s="1427">
        <v>0.85209999999999997</v>
      </c>
      <c r="D90" s="1427">
        <v>0.73850000000000005</v>
      </c>
      <c r="E90" s="1427">
        <v>0.73850000000000005</v>
      </c>
      <c r="F90" s="1427">
        <v>0.73850000000000005</v>
      </c>
      <c r="G90" s="1427">
        <v>0.73850000000000005</v>
      </c>
      <c r="H90" s="1427">
        <v>0.73850000000000005</v>
      </c>
      <c r="I90" s="1427">
        <v>0.55420000000000003</v>
      </c>
      <c r="J90" s="1427">
        <v>0.55420000000000003</v>
      </c>
      <c r="K90" s="1427">
        <v>0.55420000000000003</v>
      </c>
      <c r="L90" s="1427">
        <v>0.55420000000000003</v>
      </c>
      <c r="M90" s="1427">
        <v>0.55420000000000003</v>
      </c>
    </row>
    <row r="91" spans="1:13">
      <c r="A91" s="1418">
        <v>8.9</v>
      </c>
      <c r="B91" s="1427">
        <v>0.85099999999999998</v>
      </c>
      <c r="C91" s="1427">
        <v>0.85099999999999998</v>
      </c>
      <c r="D91" s="1427">
        <v>0.73719999999999997</v>
      </c>
      <c r="E91" s="1427">
        <v>0.73719999999999997</v>
      </c>
      <c r="F91" s="1427">
        <v>0.73719999999999997</v>
      </c>
      <c r="G91" s="1427">
        <v>0.73719999999999997</v>
      </c>
      <c r="H91" s="1427">
        <v>0.73719999999999997</v>
      </c>
      <c r="I91" s="1427">
        <v>0.55230000000000001</v>
      </c>
      <c r="J91" s="1427">
        <v>0.55230000000000001</v>
      </c>
      <c r="K91" s="1427">
        <v>0.55230000000000001</v>
      </c>
      <c r="L91" s="1427">
        <v>0.55230000000000001</v>
      </c>
      <c r="M91" s="1427">
        <v>0.55230000000000001</v>
      </c>
    </row>
    <row r="92" spans="1:13">
      <c r="A92" s="1441">
        <v>9</v>
      </c>
      <c r="B92" s="1427">
        <v>0.8498</v>
      </c>
      <c r="C92" s="1427">
        <v>0.8498</v>
      </c>
      <c r="D92" s="1427">
        <v>0.7359</v>
      </c>
      <c r="E92" s="1427">
        <v>0.7359</v>
      </c>
      <c r="F92" s="1427">
        <v>0.7359</v>
      </c>
      <c r="G92" s="1427">
        <v>0.7359</v>
      </c>
      <c r="H92" s="1427">
        <v>0.7359</v>
      </c>
      <c r="I92" s="1427">
        <v>0.55049999999999999</v>
      </c>
      <c r="J92" s="1427">
        <v>0.55049999999999999</v>
      </c>
      <c r="K92" s="1427">
        <v>0.55049999999999999</v>
      </c>
      <c r="L92" s="1427">
        <v>0.55049999999999999</v>
      </c>
      <c r="M92" s="1427">
        <v>0.55049999999999999</v>
      </c>
    </row>
    <row r="93" spans="1:13">
      <c r="A93" s="1441">
        <v>9.1</v>
      </c>
      <c r="B93" s="1427">
        <v>0.84870000000000001</v>
      </c>
      <c r="C93" s="1427">
        <v>0.84870000000000001</v>
      </c>
      <c r="D93" s="1427">
        <v>0.73470000000000002</v>
      </c>
      <c r="E93" s="1427">
        <v>0.73470000000000002</v>
      </c>
      <c r="F93" s="1427">
        <v>0.73470000000000002</v>
      </c>
      <c r="G93" s="1427">
        <v>0.73470000000000002</v>
      </c>
      <c r="H93" s="1427">
        <v>0.73470000000000002</v>
      </c>
      <c r="I93" s="1427">
        <v>0.54879999999999995</v>
      </c>
      <c r="J93" s="1427">
        <v>0.54879999999999995</v>
      </c>
      <c r="K93" s="1427">
        <v>0.54879999999999995</v>
      </c>
      <c r="L93" s="1427">
        <v>0.54879999999999995</v>
      </c>
      <c r="M93" s="1427">
        <v>0.54879999999999995</v>
      </c>
    </row>
    <row r="94" spans="1:13">
      <c r="A94" s="1441">
        <v>9.1999999999999993</v>
      </c>
      <c r="B94" s="1427">
        <v>0.84770000000000001</v>
      </c>
      <c r="C94" s="1427">
        <v>0.84770000000000001</v>
      </c>
      <c r="D94" s="1427">
        <v>0.73350000000000004</v>
      </c>
      <c r="E94" s="1427">
        <v>0.73350000000000004</v>
      </c>
      <c r="F94" s="1427">
        <v>0.73350000000000004</v>
      </c>
      <c r="G94" s="1427">
        <v>0.73350000000000004</v>
      </c>
      <c r="H94" s="1427">
        <v>0.73350000000000004</v>
      </c>
      <c r="I94" s="1427">
        <v>0.54710000000000003</v>
      </c>
      <c r="J94" s="1427">
        <v>0.54710000000000003</v>
      </c>
      <c r="K94" s="1427">
        <v>0.54710000000000003</v>
      </c>
      <c r="L94" s="1427">
        <v>0.54710000000000003</v>
      </c>
      <c r="M94" s="1427">
        <v>0.54710000000000003</v>
      </c>
    </row>
    <row r="95" spans="1:13">
      <c r="A95" s="1441">
        <v>9.3000000000000007</v>
      </c>
      <c r="B95" s="1427">
        <v>0.84660000000000002</v>
      </c>
      <c r="C95" s="1427">
        <v>0.84660000000000002</v>
      </c>
      <c r="D95" s="1427">
        <v>0.73229999999999995</v>
      </c>
      <c r="E95" s="1427">
        <v>0.73229999999999995</v>
      </c>
      <c r="F95" s="1427">
        <v>0.73229999999999995</v>
      </c>
      <c r="G95" s="1427">
        <v>0.73229999999999995</v>
      </c>
      <c r="H95" s="1427">
        <v>0.73229999999999995</v>
      </c>
      <c r="I95" s="1427">
        <v>0.5454</v>
      </c>
      <c r="J95" s="1427">
        <v>0.5454</v>
      </c>
      <c r="K95" s="1427">
        <v>0.5454</v>
      </c>
      <c r="L95" s="1427">
        <v>0.5454</v>
      </c>
      <c r="M95" s="1427">
        <v>0.5454</v>
      </c>
    </row>
    <row r="96" spans="1:13">
      <c r="A96" s="1441">
        <v>9.4</v>
      </c>
      <c r="B96" s="1427">
        <v>0.84550000000000003</v>
      </c>
      <c r="C96" s="1427">
        <v>0.84550000000000003</v>
      </c>
      <c r="D96" s="1427">
        <v>0.73109999999999997</v>
      </c>
      <c r="E96" s="1427">
        <v>0.73109999999999997</v>
      </c>
      <c r="F96" s="1427">
        <v>0.73109999999999997</v>
      </c>
      <c r="G96" s="1427">
        <v>0.73109999999999997</v>
      </c>
      <c r="H96" s="1427">
        <v>0.73109999999999997</v>
      </c>
      <c r="I96" s="1427">
        <v>0.54369999999999996</v>
      </c>
      <c r="J96" s="1427">
        <v>0.54369999999999996</v>
      </c>
      <c r="K96" s="1427">
        <v>0.54369999999999996</v>
      </c>
      <c r="L96" s="1427">
        <v>0.54369999999999996</v>
      </c>
      <c r="M96" s="1427">
        <v>0.54369999999999996</v>
      </c>
    </row>
    <row r="97" spans="1:14">
      <c r="A97" s="1441">
        <v>9.5</v>
      </c>
      <c r="B97" s="1427">
        <v>0.84450000000000003</v>
      </c>
      <c r="C97" s="1427">
        <v>0.84450000000000003</v>
      </c>
      <c r="D97" s="1427">
        <v>0.72989999999999999</v>
      </c>
      <c r="E97" s="1427">
        <v>0.72989999999999999</v>
      </c>
      <c r="F97" s="1427">
        <v>0.72989999999999999</v>
      </c>
      <c r="G97" s="1427">
        <v>0.72989999999999999</v>
      </c>
      <c r="H97" s="1427">
        <v>0.72989999999999999</v>
      </c>
      <c r="I97" s="1427">
        <v>0.54200000000000004</v>
      </c>
      <c r="J97" s="1427">
        <v>0.54200000000000004</v>
      </c>
      <c r="K97" s="1427">
        <v>0.54200000000000004</v>
      </c>
      <c r="L97" s="1427">
        <v>0.54200000000000004</v>
      </c>
      <c r="M97" s="1427">
        <v>0.54200000000000004</v>
      </c>
    </row>
    <row r="98" spans="1:14">
      <c r="A98" s="1441">
        <v>9.6</v>
      </c>
      <c r="B98" s="1427">
        <v>0.84340000000000004</v>
      </c>
      <c r="C98" s="1427">
        <v>0.84340000000000004</v>
      </c>
      <c r="D98" s="1427">
        <v>0.72870000000000001</v>
      </c>
      <c r="E98" s="1427">
        <v>0.72870000000000001</v>
      </c>
      <c r="F98" s="1427">
        <v>0.72870000000000001</v>
      </c>
      <c r="G98" s="1427">
        <v>0.72870000000000001</v>
      </c>
      <c r="H98" s="1427">
        <v>0.72870000000000001</v>
      </c>
      <c r="I98" s="1427">
        <v>0.5403</v>
      </c>
      <c r="J98" s="1427">
        <v>0.5403</v>
      </c>
      <c r="K98" s="1427">
        <v>0.5403</v>
      </c>
      <c r="L98" s="1427">
        <v>0.5403</v>
      </c>
      <c r="M98" s="1427">
        <v>0.5403</v>
      </c>
    </row>
    <row r="99" spans="1:14">
      <c r="A99" s="1441">
        <v>9.6999999999999993</v>
      </c>
      <c r="B99" s="1427">
        <v>0.84230000000000005</v>
      </c>
      <c r="C99" s="1427">
        <v>0.84230000000000005</v>
      </c>
      <c r="D99" s="1427">
        <v>0.72750000000000004</v>
      </c>
      <c r="E99" s="1427">
        <v>0.72750000000000004</v>
      </c>
      <c r="F99" s="1427">
        <v>0.72750000000000004</v>
      </c>
      <c r="G99" s="1427">
        <v>0.72750000000000004</v>
      </c>
      <c r="H99" s="1427">
        <v>0.72750000000000004</v>
      </c>
      <c r="I99" s="1427">
        <v>0.53859999999999997</v>
      </c>
      <c r="J99" s="1427">
        <v>0.53859999999999997</v>
      </c>
      <c r="K99" s="1427">
        <v>0.53859999999999997</v>
      </c>
      <c r="L99" s="1427">
        <v>0.53859999999999997</v>
      </c>
      <c r="M99" s="1427">
        <v>0.53859999999999997</v>
      </c>
    </row>
    <row r="100" spans="1:14">
      <c r="A100" s="1441">
        <v>9.8000000000000007</v>
      </c>
      <c r="B100" s="1427">
        <v>0.84140000000000004</v>
      </c>
      <c r="C100" s="1427">
        <v>0.84140000000000004</v>
      </c>
      <c r="D100" s="1427">
        <v>0.72629999999999995</v>
      </c>
      <c r="E100" s="1427">
        <v>0.72629999999999995</v>
      </c>
      <c r="F100" s="1427">
        <v>0.72629999999999995</v>
      </c>
      <c r="G100" s="1427">
        <v>0.72629999999999995</v>
      </c>
      <c r="H100" s="1427">
        <v>0.72629999999999995</v>
      </c>
      <c r="I100" s="1427">
        <v>0.53710000000000002</v>
      </c>
      <c r="J100" s="1427">
        <v>0.53710000000000002</v>
      </c>
      <c r="K100" s="1427">
        <v>0.53710000000000002</v>
      </c>
      <c r="L100" s="1427">
        <v>0.53710000000000002</v>
      </c>
      <c r="M100" s="1427">
        <v>0.53710000000000002</v>
      </c>
    </row>
    <row r="101" spans="1:14">
      <c r="A101" s="1441">
        <v>9.9</v>
      </c>
      <c r="B101" s="1427">
        <v>0.84050000000000002</v>
      </c>
      <c r="C101" s="1427">
        <v>0.84050000000000002</v>
      </c>
      <c r="D101" s="1427">
        <v>0.72519999999999996</v>
      </c>
      <c r="E101" s="1427">
        <v>0.72519999999999996</v>
      </c>
      <c r="F101" s="1427">
        <v>0.72519999999999996</v>
      </c>
      <c r="G101" s="1427">
        <v>0.72519999999999996</v>
      </c>
      <c r="H101" s="1427">
        <v>0.72519999999999996</v>
      </c>
      <c r="I101" s="1427">
        <v>0.53549999999999998</v>
      </c>
      <c r="J101" s="1427">
        <v>0.53549999999999998</v>
      </c>
      <c r="K101" s="1427">
        <v>0.53549999999999998</v>
      </c>
      <c r="L101" s="1427">
        <v>0.53549999999999998</v>
      </c>
      <c r="M101" s="1427">
        <v>0.53549999999999998</v>
      </c>
    </row>
    <row r="102" spans="1:14">
      <c r="A102" s="1441">
        <v>10</v>
      </c>
      <c r="B102" s="1427">
        <v>0.83950000000000002</v>
      </c>
      <c r="C102" s="1427">
        <v>0.83950000000000002</v>
      </c>
      <c r="D102" s="1427">
        <v>0.72409999999999997</v>
      </c>
      <c r="E102" s="1427">
        <v>0.72409999999999997</v>
      </c>
      <c r="F102" s="1427">
        <v>0.72409999999999997</v>
      </c>
      <c r="G102" s="1427">
        <v>0.72409999999999997</v>
      </c>
      <c r="H102" s="1427">
        <v>0.72409999999999997</v>
      </c>
      <c r="I102" s="1427">
        <v>0.53400000000000003</v>
      </c>
      <c r="J102" s="1427">
        <v>0.53400000000000003</v>
      </c>
      <c r="K102" s="1427">
        <v>0.53400000000000003</v>
      </c>
      <c r="L102" s="1427">
        <v>0.53400000000000003</v>
      </c>
      <c r="M102" s="1427">
        <v>0.53400000000000003</v>
      </c>
    </row>
    <row r="103" spans="1:14" ht="14.25">
      <c r="A103" s="1415" t="s">
        <v>1690</v>
      </c>
      <c r="B103" s="1416"/>
      <c r="C103" s="1416"/>
      <c r="D103" s="1416"/>
      <c r="E103" s="1416"/>
      <c r="F103" s="1416"/>
      <c r="G103" s="1416"/>
      <c r="H103" s="1416"/>
      <c r="I103" s="1416"/>
      <c r="J103" s="1416"/>
      <c r="K103" s="1416"/>
      <c r="L103" s="1416"/>
      <c r="M103" s="1416"/>
      <c r="N103" s="1416"/>
    </row>
    <row r="104" spans="1:14" ht="14.25">
      <c r="A104" s="1418" t="s">
        <v>1688</v>
      </c>
      <c r="B104" s="1419" t="s">
        <v>1091</v>
      </c>
      <c r="C104" s="1419" t="s">
        <v>1092</v>
      </c>
      <c r="D104" s="1419" t="s">
        <v>1093</v>
      </c>
      <c r="E104" s="1419" t="s">
        <v>1094</v>
      </c>
      <c r="F104" s="1419" t="s">
        <v>1095</v>
      </c>
      <c r="G104" s="1419" t="s">
        <v>1096</v>
      </c>
      <c r="H104" s="1420" t="s">
        <v>1097</v>
      </c>
      <c r="I104" s="1420" t="s">
        <v>1098</v>
      </c>
      <c r="J104" s="1421" t="s">
        <v>1099</v>
      </c>
      <c r="K104" s="1421" t="s">
        <v>1100</v>
      </c>
      <c r="L104" s="1421" t="s">
        <v>1101</v>
      </c>
      <c r="M104" s="1421" t="s">
        <v>1102</v>
      </c>
      <c r="N104" s="1416">
        <f>SUMPRODUCT((A105:A204=ROUNDDOWN(基准地价修正!G3,1))*(B104:M104=基准地价修正!G2)*(B105:M204))</f>
        <v>0</v>
      </c>
    </row>
    <row r="105" spans="1:14">
      <c r="A105" s="1418">
        <v>0.1</v>
      </c>
      <c r="B105" s="1427">
        <v>13.733000000000001</v>
      </c>
      <c r="C105" s="1427">
        <v>13.733000000000001</v>
      </c>
      <c r="D105" s="1427">
        <v>12.787000000000001</v>
      </c>
      <c r="E105" s="1427">
        <v>12.787000000000001</v>
      </c>
      <c r="F105" s="1427">
        <v>12.787000000000001</v>
      </c>
      <c r="G105" s="1427">
        <v>12.787000000000001</v>
      </c>
      <c r="H105" s="1427">
        <v>12.787000000000001</v>
      </c>
      <c r="I105" s="1427">
        <v>12.384</v>
      </c>
      <c r="J105" s="1427">
        <v>12.384</v>
      </c>
      <c r="K105" s="1427">
        <v>12.384</v>
      </c>
      <c r="L105" s="1427">
        <v>12.384</v>
      </c>
      <c r="M105" s="1427">
        <v>12.384</v>
      </c>
    </row>
    <row r="106" spans="1:14">
      <c r="A106" s="1418">
        <v>0.2</v>
      </c>
      <c r="B106" s="1427">
        <v>6.8665000000000003</v>
      </c>
      <c r="C106" s="1427">
        <v>6.8665000000000003</v>
      </c>
      <c r="D106" s="1427">
        <v>6.3935000000000004</v>
      </c>
      <c r="E106" s="1427">
        <v>6.3935000000000004</v>
      </c>
      <c r="F106" s="1427">
        <v>6.3935000000000004</v>
      </c>
      <c r="G106" s="1427">
        <v>6.3935000000000004</v>
      </c>
      <c r="H106" s="1427">
        <v>6.3935000000000004</v>
      </c>
      <c r="I106" s="1427">
        <v>6.1920000000000002</v>
      </c>
      <c r="J106" s="1427">
        <v>6.1920000000000002</v>
      </c>
      <c r="K106" s="1427">
        <v>6.1920000000000002</v>
      </c>
      <c r="L106" s="1427">
        <v>6.1920000000000002</v>
      </c>
      <c r="M106" s="1427">
        <v>6.1920000000000002</v>
      </c>
    </row>
    <row r="107" spans="1:14">
      <c r="A107" s="1418">
        <v>0.3</v>
      </c>
      <c r="B107" s="1427">
        <v>4.5777000000000001</v>
      </c>
      <c r="C107" s="1427">
        <v>4.5777000000000001</v>
      </c>
      <c r="D107" s="1427">
        <v>4.2622999999999998</v>
      </c>
      <c r="E107" s="1427">
        <v>4.2622999999999998</v>
      </c>
      <c r="F107" s="1427">
        <v>4.2622999999999998</v>
      </c>
      <c r="G107" s="1427">
        <v>4.2622999999999998</v>
      </c>
      <c r="H107" s="1427">
        <v>4.2622999999999998</v>
      </c>
      <c r="I107" s="1427">
        <v>4.1280000000000001</v>
      </c>
      <c r="J107" s="1427">
        <v>4.1280000000000001</v>
      </c>
      <c r="K107" s="1427">
        <v>4.1280000000000001</v>
      </c>
      <c r="L107" s="1427">
        <v>4.1280000000000001</v>
      </c>
      <c r="M107" s="1427">
        <v>4.1280000000000001</v>
      </c>
    </row>
    <row r="108" spans="1:14">
      <c r="A108" s="1418">
        <v>0.4</v>
      </c>
      <c r="B108" s="1427">
        <v>3.4333</v>
      </c>
      <c r="C108" s="1427">
        <v>3.4333</v>
      </c>
      <c r="D108" s="1427">
        <v>3.1968000000000001</v>
      </c>
      <c r="E108" s="1427">
        <v>3.1968000000000001</v>
      </c>
      <c r="F108" s="1427">
        <v>3.1968000000000001</v>
      </c>
      <c r="G108" s="1427">
        <v>3.1968000000000001</v>
      </c>
      <c r="H108" s="1427">
        <v>3.1968000000000001</v>
      </c>
      <c r="I108" s="1427">
        <v>3.0960000000000001</v>
      </c>
      <c r="J108" s="1427">
        <v>3.0960000000000001</v>
      </c>
      <c r="K108" s="1427">
        <v>3.0960000000000001</v>
      </c>
      <c r="L108" s="1427">
        <v>3.0960000000000001</v>
      </c>
      <c r="M108" s="1427">
        <v>3.0960000000000001</v>
      </c>
    </row>
    <row r="109" spans="1:14">
      <c r="A109" s="1418">
        <v>0.5</v>
      </c>
      <c r="B109" s="1427">
        <v>2.7465999999999999</v>
      </c>
      <c r="C109" s="1427">
        <v>2.7465999999999999</v>
      </c>
      <c r="D109" s="1427">
        <v>2.5573999999999999</v>
      </c>
      <c r="E109" s="1427">
        <v>2.5573999999999999</v>
      </c>
      <c r="F109" s="1427">
        <v>2.5573999999999999</v>
      </c>
      <c r="G109" s="1427">
        <v>2.5573999999999999</v>
      </c>
      <c r="H109" s="1427">
        <v>2.5573999999999999</v>
      </c>
      <c r="I109" s="1427">
        <v>2.4767999999999999</v>
      </c>
      <c r="J109" s="1427">
        <v>2.4767999999999999</v>
      </c>
      <c r="K109" s="1427">
        <v>2.4767999999999999</v>
      </c>
      <c r="L109" s="1427">
        <v>2.4767999999999999</v>
      </c>
      <c r="M109" s="1427">
        <v>2.4767999999999999</v>
      </c>
    </row>
    <row r="110" spans="1:14">
      <c r="A110" s="1418">
        <v>0.6</v>
      </c>
      <c r="B110" s="1427">
        <v>2.2888000000000002</v>
      </c>
      <c r="C110" s="1427">
        <v>2.2888000000000002</v>
      </c>
      <c r="D110" s="1427">
        <v>2.1312000000000002</v>
      </c>
      <c r="E110" s="1427">
        <v>2.1312000000000002</v>
      </c>
      <c r="F110" s="1427">
        <v>2.1312000000000002</v>
      </c>
      <c r="G110" s="1427">
        <v>2.1312000000000002</v>
      </c>
      <c r="H110" s="1427">
        <v>2.1312000000000002</v>
      </c>
      <c r="I110" s="1427">
        <v>2.0640000000000001</v>
      </c>
      <c r="J110" s="1427">
        <v>2.0640000000000001</v>
      </c>
      <c r="K110" s="1427">
        <v>2.0640000000000001</v>
      </c>
      <c r="L110" s="1427">
        <v>2.0640000000000001</v>
      </c>
      <c r="M110" s="1427">
        <v>2.0640000000000001</v>
      </c>
    </row>
    <row r="111" spans="1:14">
      <c r="A111" s="1418">
        <v>0.7</v>
      </c>
      <c r="B111" s="1427">
        <v>1.9619</v>
      </c>
      <c r="C111" s="1427">
        <v>1.9619</v>
      </c>
      <c r="D111" s="1427">
        <v>1.8267</v>
      </c>
      <c r="E111" s="1427">
        <v>1.8267</v>
      </c>
      <c r="F111" s="1427">
        <v>1.8267</v>
      </c>
      <c r="G111" s="1427">
        <v>1.8267</v>
      </c>
      <c r="H111" s="1427">
        <v>1.8267</v>
      </c>
      <c r="I111" s="1427">
        <v>1.7690999999999999</v>
      </c>
      <c r="J111" s="1427">
        <v>1.7690999999999999</v>
      </c>
      <c r="K111" s="1427">
        <v>1.7690999999999999</v>
      </c>
      <c r="L111" s="1427">
        <v>1.7690999999999999</v>
      </c>
      <c r="M111" s="1427">
        <v>1.7690999999999999</v>
      </c>
    </row>
    <row r="112" spans="1:14">
      <c r="A112" s="1418">
        <v>0.8</v>
      </c>
      <c r="B112" s="1427">
        <v>1.7165999999999999</v>
      </c>
      <c r="C112" s="1427">
        <v>1.7165999999999999</v>
      </c>
      <c r="D112" s="1427">
        <v>1.5984</v>
      </c>
      <c r="E112" s="1427">
        <v>1.5984</v>
      </c>
      <c r="F112" s="1427">
        <v>1.5984</v>
      </c>
      <c r="G112" s="1427">
        <v>1.5984</v>
      </c>
      <c r="H112" s="1427">
        <v>1.5984</v>
      </c>
      <c r="I112" s="1427">
        <v>1.548</v>
      </c>
      <c r="J112" s="1427">
        <v>1.548</v>
      </c>
      <c r="K112" s="1427">
        <v>1.548</v>
      </c>
      <c r="L112" s="1427">
        <v>1.548</v>
      </c>
      <c r="M112" s="1427">
        <v>1.548</v>
      </c>
    </row>
    <row r="113" spans="1:13">
      <c r="A113" s="1418">
        <v>0.9</v>
      </c>
      <c r="B113" s="1427">
        <v>1.5259</v>
      </c>
      <c r="C113" s="1427">
        <v>1.5259</v>
      </c>
      <c r="D113" s="1427">
        <v>1.4208000000000001</v>
      </c>
      <c r="E113" s="1427">
        <v>1.4208000000000001</v>
      </c>
      <c r="F113" s="1427">
        <v>1.4208000000000001</v>
      </c>
      <c r="G113" s="1427">
        <v>1.4208000000000001</v>
      </c>
      <c r="H113" s="1427">
        <v>1.4208000000000001</v>
      </c>
      <c r="I113" s="1427">
        <v>1.3759999999999999</v>
      </c>
      <c r="J113" s="1427">
        <v>1.3759999999999999</v>
      </c>
      <c r="K113" s="1427">
        <v>1.3759999999999999</v>
      </c>
      <c r="L113" s="1427">
        <v>1.3759999999999999</v>
      </c>
      <c r="M113" s="1427">
        <v>1.3759999999999999</v>
      </c>
    </row>
    <row r="114" spans="1:13">
      <c r="A114" s="1418">
        <v>1</v>
      </c>
      <c r="B114" s="1427">
        <v>1.3733</v>
      </c>
      <c r="C114" s="1427">
        <v>1.3733</v>
      </c>
      <c r="D114" s="1427">
        <v>1.2786999999999999</v>
      </c>
      <c r="E114" s="1427">
        <v>1.2786999999999999</v>
      </c>
      <c r="F114" s="1427">
        <v>1.2786999999999999</v>
      </c>
      <c r="G114" s="1427">
        <v>1.2786999999999999</v>
      </c>
      <c r="H114" s="1427">
        <v>1.2786999999999999</v>
      </c>
      <c r="I114" s="1427">
        <v>1.2383999999999999</v>
      </c>
      <c r="J114" s="1427">
        <v>1.2383999999999999</v>
      </c>
      <c r="K114" s="1427">
        <v>1.2383999999999999</v>
      </c>
      <c r="L114" s="1427">
        <v>1.2383999999999999</v>
      </c>
      <c r="M114" s="1427">
        <v>1.2383999999999999</v>
      </c>
    </row>
    <row r="115" spans="1:13">
      <c r="A115" s="1418">
        <v>1.1000000000000001</v>
      </c>
      <c r="B115" s="1427">
        <v>1.3489</v>
      </c>
      <c r="C115" s="1427">
        <v>1.3489</v>
      </c>
      <c r="D115" s="1427">
        <v>1.2542</v>
      </c>
      <c r="E115" s="1427">
        <v>1.2542</v>
      </c>
      <c r="F115" s="1427">
        <v>1.2542</v>
      </c>
      <c r="G115" s="1427">
        <v>1.2542</v>
      </c>
      <c r="H115" s="1427">
        <v>1.2542</v>
      </c>
      <c r="I115" s="1427">
        <v>1.2050000000000001</v>
      </c>
      <c r="J115" s="1427">
        <v>1.2050000000000001</v>
      </c>
      <c r="K115" s="1427">
        <v>1.2050000000000001</v>
      </c>
      <c r="L115" s="1427">
        <v>1.2050000000000001</v>
      </c>
      <c r="M115" s="1427">
        <v>1.2050000000000001</v>
      </c>
    </row>
    <row r="116" spans="1:13">
      <c r="A116" s="1418">
        <v>1.2</v>
      </c>
      <c r="B116" s="1427">
        <v>1.3255999999999999</v>
      </c>
      <c r="C116" s="1427">
        <v>1.3255999999999999</v>
      </c>
      <c r="D116" s="1427">
        <v>1.2305999999999999</v>
      </c>
      <c r="E116" s="1427">
        <v>1.2305999999999999</v>
      </c>
      <c r="F116" s="1427">
        <v>1.2305999999999999</v>
      </c>
      <c r="G116" s="1427">
        <v>1.2305999999999999</v>
      </c>
      <c r="H116" s="1427">
        <v>1.2305999999999999</v>
      </c>
      <c r="I116" s="1427">
        <v>1.1741999999999999</v>
      </c>
      <c r="J116" s="1427">
        <v>1.1741999999999999</v>
      </c>
      <c r="K116" s="1427">
        <v>1.1741999999999999</v>
      </c>
      <c r="L116" s="1427">
        <v>1.1741999999999999</v>
      </c>
      <c r="M116" s="1427">
        <v>1.1741999999999999</v>
      </c>
    </row>
    <row r="117" spans="1:13">
      <c r="A117" s="1418">
        <v>1.3</v>
      </c>
      <c r="B117" s="1427">
        <v>1.3032999999999999</v>
      </c>
      <c r="C117" s="1427">
        <v>1.3032999999999999</v>
      </c>
      <c r="D117" s="1427">
        <v>1.2079</v>
      </c>
      <c r="E117" s="1427">
        <v>1.2079</v>
      </c>
      <c r="F117" s="1427">
        <v>1.2079</v>
      </c>
      <c r="G117" s="1427">
        <v>1.2079</v>
      </c>
      <c r="H117" s="1427">
        <v>1.2079</v>
      </c>
      <c r="I117" s="1427">
        <v>1.1459999999999999</v>
      </c>
      <c r="J117" s="1427">
        <v>1.1459999999999999</v>
      </c>
      <c r="K117" s="1427">
        <v>1.1459999999999999</v>
      </c>
      <c r="L117" s="1427">
        <v>1.1459999999999999</v>
      </c>
      <c r="M117" s="1427">
        <v>1.1459999999999999</v>
      </c>
    </row>
    <row r="118" spans="1:13">
      <c r="A118" s="1418">
        <v>1.4</v>
      </c>
      <c r="B118" s="1427">
        <v>1.282</v>
      </c>
      <c r="C118" s="1427">
        <v>1.282</v>
      </c>
      <c r="D118" s="1427">
        <v>1.1861999999999999</v>
      </c>
      <c r="E118" s="1427">
        <v>1.1861999999999999</v>
      </c>
      <c r="F118" s="1427">
        <v>1.1861999999999999</v>
      </c>
      <c r="G118" s="1427">
        <v>1.1861999999999999</v>
      </c>
      <c r="H118" s="1427">
        <v>1.1861999999999999</v>
      </c>
      <c r="I118" s="1427">
        <v>1.1200000000000001</v>
      </c>
      <c r="J118" s="1427">
        <v>1.1200000000000001</v>
      </c>
      <c r="K118" s="1427">
        <v>1.1200000000000001</v>
      </c>
      <c r="L118" s="1427">
        <v>1.1200000000000001</v>
      </c>
      <c r="M118" s="1427">
        <v>1.1200000000000001</v>
      </c>
    </row>
    <row r="119" spans="1:13">
      <c r="A119" s="1418">
        <v>1.5</v>
      </c>
      <c r="B119" s="1427">
        <v>1.2617</v>
      </c>
      <c r="C119" s="1427">
        <v>1.2617</v>
      </c>
      <c r="D119" s="1427">
        <v>1.1653</v>
      </c>
      <c r="E119" s="1427">
        <v>1.1653</v>
      </c>
      <c r="F119" s="1427">
        <v>1.1653</v>
      </c>
      <c r="G119" s="1427">
        <v>1.1653</v>
      </c>
      <c r="H119" s="1427">
        <v>1.1653</v>
      </c>
      <c r="I119" s="1427">
        <v>1.0961000000000001</v>
      </c>
      <c r="J119" s="1427">
        <v>1.0961000000000001</v>
      </c>
      <c r="K119" s="1427">
        <v>1.0961000000000001</v>
      </c>
      <c r="L119" s="1427">
        <v>1.0961000000000001</v>
      </c>
      <c r="M119" s="1427">
        <v>1.0961000000000001</v>
      </c>
    </row>
    <row r="120" spans="1:13">
      <c r="A120" s="1418">
        <v>1.6</v>
      </c>
      <c r="B120" s="1427">
        <v>1.2423</v>
      </c>
      <c r="C120" s="1427">
        <v>1.2423</v>
      </c>
      <c r="D120" s="1427">
        <v>1.1453</v>
      </c>
      <c r="E120" s="1427">
        <v>1.1453</v>
      </c>
      <c r="F120" s="1427">
        <v>1.1453</v>
      </c>
      <c r="G120" s="1427">
        <v>1.1453</v>
      </c>
      <c r="H120" s="1427">
        <v>1.1453</v>
      </c>
      <c r="I120" s="1427">
        <v>1.0740000000000001</v>
      </c>
      <c r="J120" s="1427">
        <v>1.0740000000000001</v>
      </c>
      <c r="K120" s="1427">
        <v>1.0740000000000001</v>
      </c>
      <c r="L120" s="1427">
        <v>1.0740000000000001</v>
      </c>
      <c r="M120" s="1427">
        <v>1.0740000000000001</v>
      </c>
    </row>
    <row r="121" spans="1:13">
      <c r="A121" s="1418">
        <v>1.7</v>
      </c>
      <c r="B121" s="1427">
        <v>1.2237</v>
      </c>
      <c r="C121" s="1427">
        <v>1.2237</v>
      </c>
      <c r="D121" s="1427">
        <v>1.1261000000000001</v>
      </c>
      <c r="E121" s="1427">
        <v>1.1261000000000001</v>
      </c>
      <c r="F121" s="1427">
        <v>1.1261000000000001</v>
      </c>
      <c r="G121" s="1427">
        <v>1.1261000000000001</v>
      </c>
      <c r="H121" s="1427">
        <v>1.1261000000000001</v>
      </c>
      <c r="I121" s="1427">
        <v>1.0535000000000001</v>
      </c>
      <c r="J121" s="1427">
        <v>1.0535000000000001</v>
      </c>
      <c r="K121" s="1427">
        <v>1.0535000000000001</v>
      </c>
      <c r="L121" s="1427">
        <v>1.0535000000000001</v>
      </c>
      <c r="M121" s="1427">
        <v>1.0535000000000001</v>
      </c>
    </row>
    <row r="122" spans="1:13">
      <c r="A122" s="1418">
        <v>1.8</v>
      </c>
      <c r="B122" s="1427">
        <v>1.206</v>
      </c>
      <c r="C122" s="1427">
        <v>1.206</v>
      </c>
      <c r="D122" s="1427">
        <v>1.1076999999999999</v>
      </c>
      <c r="E122" s="1427">
        <v>1.1076999999999999</v>
      </c>
      <c r="F122" s="1427">
        <v>1.1076999999999999</v>
      </c>
      <c r="G122" s="1427">
        <v>1.1076999999999999</v>
      </c>
      <c r="H122" s="1427">
        <v>1.1076999999999999</v>
      </c>
      <c r="I122" s="1427">
        <v>1.0345</v>
      </c>
      <c r="J122" s="1427">
        <v>1.0345</v>
      </c>
      <c r="K122" s="1427">
        <v>1.0345</v>
      </c>
      <c r="L122" s="1427">
        <v>1.0345</v>
      </c>
      <c r="M122" s="1427">
        <v>1.0345</v>
      </c>
    </row>
    <row r="123" spans="1:13">
      <c r="A123" s="1418">
        <v>1.9</v>
      </c>
      <c r="B123" s="1427">
        <v>1.1891</v>
      </c>
      <c r="C123" s="1427">
        <v>1.1891</v>
      </c>
      <c r="D123" s="1427">
        <v>1.0901000000000001</v>
      </c>
      <c r="E123" s="1427">
        <v>1.0901000000000001</v>
      </c>
      <c r="F123" s="1427">
        <v>1.0901000000000001</v>
      </c>
      <c r="G123" s="1427">
        <v>1.0901000000000001</v>
      </c>
      <c r="H123" s="1427">
        <v>1.0901000000000001</v>
      </c>
      <c r="I123" s="1427">
        <v>1.0166999999999999</v>
      </c>
      <c r="J123" s="1427">
        <v>1.0166999999999999</v>
      </c>
      <c r="K123" s="1427">
        <v>1.0166999999999999</v>
      </c>
      <c r="L123" s="1427">
        <v>1.0166999999999999</v>
      </c>
      <c r="M123" s="1427">
        <v>1.0166999999999999</v>
      </c>
    </row>
    <row r="124" spans="1:13">
      <c r="A124" s="1418">
        <v>2</v>
      </c>
      <c r="B124" s="1427">
        <v>1.1729000000000001</v>
      </c>
      <c r="C124" s="1427">
        <v>1.1729000000000001</v>
      </c>
      <c r="D124" s="1427">
        <v>1.0732999999999999</v>
      </c>
      <c r="E124" s="1427">
        <v>1.0732999999999999</v>
      </c>
      <c r="F124" s="1427">
        <v>1.0732999999999999</v>
      </c>
      <c r="G124" s="1427">
        <v>1.0732999999999999</v>
      </c>
      <c r="H124" s="1427">
        <v>1.0732999999999999</v>
      </c>
      <c r="I124" s="1427">
        <v>1</v>
      </c>
      <c r="J124" s="1427">
        <v>1</v>
      </c>
      <c r="K124" s="1427">
        <v>1</v>
      </c>
      <c r="L124" s="1427">
        <v>1</v>
      </c>
      <c r="M124" s="1427">
        <v>1</v>
      </c>
    </row>
    <row r="125" spans="1:13">
      <c r="A125" s="1441">
        <v>2.1</v>
      </c>
      <c r="B125" s="1427">
        <v>1.1574</v>
      </c>
      <c r="C125" s="1427">
        <v>1.1574</v>
      </c>
      <c r="D125" s="1427">
        <v>1.0571999999999999</v>
      </c>
      <c r="E125" s="1427">
        <v>1.0571999999999999</v>
      </c>
      <c r="F125" s="1427">
        <v>1.0571999999999999</v>
      </c>
      <c r="G125" s="1427">
        <v>1.0571999999999999</v>
      </c>
      <c r="H125" s="1427">
        <v>1.0571999999999999</v>
      </c>
      <c r="I125" s="1427">
        <v>0.98409999999999997</v>
      </c>
      <c r="J125" s="1427">
        <v>0.98409999999999997</v>
      </c>
      <c r="K125" s="1427">
        <v>0.98409999999999997</v>
      </c>
      <c r="L125" s="1427">
        <v>0.98409999999999997</v>
      </c>
      <c r="M125" s="1427">
        <v>0.98409999999999997</v>
      </c>
    </row>
    <row r="126" spans="1:13">
      <c r="A126" s="1441">
        <v>2.2000000000000002</v>
      </c>
      <c r="B126" s="1427">
        <v>1.1426000000000001</v>
      </c>
      <c r="C126" s="1427">
        <v>1.1426000000000001</v>
      </c>
      <c r="D126" s="1427">
        <v>1.0419</v>
      </c>
      <c r="E126" s="1427">
        <v>1.0419</v>
      </c>
      <c r="F126" s="1427">
        <v>1.0419</v>
      </c>
      <c r="G126" s="1427">
        <v>1.0419</v>
      </c>
      <c r="H126" s="1427">
        <v>1.0419</v>
      </c>
      <c r="I126" s="1427">
        <v>0.96889999999999998</v>
      </c>
      <c r="J126" s="1427">
        <v>0.96889999999999998</v>
      </c>
      <c r="K126" s="1427">
        <v>0.96889999999999998</v>
      </c>
      <c r="L126" s="1427">
        <v>0.96889999999999998</v>
      </c>
      <c r="M126" s="1427">
        <v>0.96889999999999998</v>
      </c>
    </row>
    <row r="127" spans="1:13">
      <c r="A127" s="1441">
        <v>2.2999999999999998</v>
      </c>
      <c r="B127" s="1427">
        <v>1.1285000000000001</v>
      </c>
      <c r="C127" s="1427">
        <v>1.1285000000000001</v>
      </c>
      <c r="D127" s="1427">
        <v>1.0271999999999999</v>
      </c>
      <c r="E127" s="1427">
        <v>1.0271999999999999</v>
      </c>
      <c r="F127" s="1427">
        <v>1.0271999999999999</v>
      </c>
      <c r="G127" s="1427">
        <v>1.0271999999999999</v>
      </c>
      <c r="H127" s="1427">
        <v>1.0271999999999999</v>
      </c>
      <c r="I127" s="1427">
        <v>0.95440000000000003</v>
      </c>
      <c r="J127" s="1427">
        <v>0.95440000000000003</v>
      </c>
      <c r="K127" s="1427">
        <v>0.95440000000000003</v>
      </c>
      <c r="L127" s="1427">
        <v>0.95440000000000003</v>
      </c>
      <c r="M127" s="1427">
        <v>0.95440000000000003</v>
      </c>
    </row>
    <row r="128" spans="1:13">
      <c r="A128" s="1441">
        <v>2.4</v>
      </c>
      <c r="B128" s="1427">
        <v>1.1149</v>
      </c>
      <c r="C128" s="1427">
        <v>1.1149</v>
      </c>
      <c r="D128" s="1427">
        <v>1.0133000000000001</v>
      </c>
      <c r="E128" s="1427">
        <v>1.0133000000000001</v>
      </c>
      <c r="F128" s="1427">
        <v>1.0133000000000001</v>
      </c>
      <c r="G128" s="1427">
        <v>1.0133000000000001</v>
      </c>
      <c r="H128" s="1427">
        <v>1.0133000000000001</v>
      </c>
      <c r="I128" s="1427">
        <v>0.9405</v>
      </c>
      <c r="J128" s="1427">
        <v>0.9405</v>
      </c>
      <c r="K128" s="1427">
        <v>0.9405</v>
      </c>
      <c r="L128" s="1427">
        <v>0.9405</v>
      </c>
      <c r="M128" s="1427">
        <v>0.9405</v>
      </c>
    </row>
    <row r="129" spans="1:13">
      <c r="A129" s="1441">
        <v>2.5</v>
      </c>
      <c r="B129" s="1427">
        <v>1.1020000000000001</v>
      </c>
      <c r="C129" s="1427">
        <v>1.1020000000000001</v>
      </c>
      <c r="D129" s="1427">
        <v>1</v>
      </c>
      <c r="E129" s="1427">
        <v>1</v>
      </c>
      <c r="F129" s="1427">
        <v>1</v>
      </c>
      <c r="G129" s="1427">
        <v>1</v>
      </c>
      <c r="H129" s="1427">
        <v>1</v>
      </c>
      <c r="I129" s="1427">
        <v>0.92730000000000001</v>
      </c>
      <c r="J129" s="1427">
        <v>0.92730000000000001</v>
      </c>
      <c r="K129" s="1427">
        <v>0.92730000000000001</v>
      </c>
      <c r="L129" s="1427">
        <v>0.92730000000000001</v>
      </c>
      <c r="M129" s="1427">
        <v>0.92730000000000001</v>
      </c>
    </row>
    <row r="130" spans="1:13">
      <c r="A130" s="1441">
        <v>2.6</v>
      </c>
      <c r="B130" s="1427">
        <v>1.0895999999999999</v>
      </c>
      <c r="C130" s="1427">
        <v>1.0895999999999999</v>
      </c>
      <c r="D130" s="1427">
        <v>0.98740000000000006</v>
      </c>
      <c r="E130" s="1427">
        <v>0.98740000000000006</v>
      </c>
      <c r="F130" s="1427">
        <v>0.98740000000000006</v>
      </c>
      <c r="G130" s="1427">
        <v>0.98740000000000006</v>
      </c>
      <c r="H130" s="1427">
        <v>0.98740000000000006</v>
      </c>
      <c r="I130" s="1427">
        <v>0.91469999999999996</v>
      </c>
      <c r="J130" s="1427">
        <v>0.91469999999999996</v>
      </c>
      <c r="K130" s="1427">
        <v>0.91469999999999996</v>
      </c>
      <c r="L130" s="1427">
        <v>0.91469999999999996</v>
      </c>
      <c r="M130" s="1427">
        <v>0.91469999999999996</v>
      </c>
    </row>
    <row r="131" spans="1:13">
      <c r="A131" s="1441">
        <v>2.7</v>
      </c>
      <c r="B131" s="1427">
        <v>1.0778000000000001</v>
      </c>
      <c r="C131" s="1427">
        <v>1.0778000000000001</v>
      </c>
      <c r="D131" s="1427">
        <v>0.97540000000000004</v>
      </c>
      <c r="E131" s="1427">
        <v>0.97540000000000004</v>
      </c>
      <c r="F131" s="1427">
        <v>0.97540000000000004</v>
      </c>
      <c r="G131" s="1427">
        <v>0.97540000000000004</v>
      </c>
      <c r="H131" s="1427">
        <v>0.97540000000000004</v>
      </c>
      <c r="I131" s="1427">
        <v>0.90269999999999995</v>
      </c>
      <c r="J131" s="1427">
        <v>0.90269999999999995</v>
      </c>
      <c r="K131" s="1427">
        <v>0.90269999999999995</v>
      </c>
      <c r="L131" s="1427">
        <v>0.90269999999999995</v>
      </c>
      <c r="M131" s="1427">
        <v>0.90269999999999995</v>
      </c>
    </row>
    <row r="132" spans="1:13">
      <c r="A132" s="1441">
        <v>2.8</v>
      </c>
      <c r="B132" s="1427">
        <v>1.0665</v>
      </c>
      <c r="C132" s="1427">
        <v>1.0665</v>
      </c>
      <c r="D132" s="1427">
        <v>0.96399999999999997</v>
      </c>
      <c r="E132" s="1427">
        <v>0.96399999999999997</v>
      </c>
      <c r="F132" s="1427">
        <v>0.96399999999999997</v>
      </c>
      <c r="G132" s="1427">
        <v>0.96399999999999997</v>
      </c>
      <c r="H132" s="1427">
        <v>0.96399999999999997</v>
      </c>
      <c r="I132" s="1427">
        <v>0.89119999999999999</v>
      </c>
      <c r="J132" s="1427">
        <v>0.89119999999999999</v>
      </c>
      <c r="K132" s="1427">
        <v>0.89119999999999999</v>
      </c>
      <c r="L132" s="1427">
        <v>0.89119999999999999</v>
      </c>
      <c r="M132" s="1427">
        <v>0.89119999999999999</v>
      </c>
    </row>
    <row r="133" spans="1:13">
      <c r="A133" s="1441">
        <v>2.9</v>
      </c>
      <c r="B133" s="1427">
        <v>1.0556000000000001</v>
      </c>
      <c r="C133" s="1427">
        <v>1.0556000000000001</v>
      </c>
      <c r="D133" s="1427">
        <v>0.95330000000000004</v>
      </c>
      <c r="E133" s="1427">
        <v>0.95330000000000004</v>
      </c>
      <c r="F133" s="1427">
        <v>0.95330000000000004</v>
      </c>
      <c r="G133" s="1427">
        <v>0.95330000000000004</v>
      </c>
      <c r="H133" s="1427">
        <v>0.95330000000000004</v>
      </c>
      <c r="I133" s="1427">
        <v>0.88019999999999998</v>
      </c>
      <c r="J133" s="1427">
        <v>0.88019999999999998</v>
      </c>
      <c r="K133" s="1427">
        <v>0.88019999999999998</v>
      </c>
      <c r="L133" s="1427">
        <v>0.88019999999999998</v>
      </c>
      <c r="M133" s="1427">
        <v>0.88019999999999998</v>
      </c>
    </row>
    <row r="134" spans="1:13">
      <c r="A134" s="1441">
        <v>3</v>
      </c>
      <c r="B134" s="1427">
        <v>1.0452999999999999</v>
      </c>
      <c r="C134" s="1427">
        <v>1.0452999999999999</v>
      </c>
      <c r="D134" s="1427">
        <v>0.94299999999999995</v>
      </c>
      <c r="E134" s="1427">
        <v>0.94299999999999995</v>
      </c>
      <c r="F134" s="1427">
        <v>0.94299999999999995</v>
      </c>
      <c r="G134" s="1427">
        <v>0.94299999999999995</v>
      </c>
      <c r="H134" s="1427">
        <v>0.94299999999999995</v>
      </c>
      <c r="I134" s="1427">
        <v>0.86970000000000003</v>
      </c>
      <c r="J134" s="1427">
        <v>0.86970000000000003</v>
      </c>
      <c r="K134" s="1427">
        <v>0.86970000000000003</v>
      </c>
      <c r="L134" s="1427">
        <v>0.86970000000000003</v>
      </c>
      <c r="M134" s="1427">
        <v>0.86970000000000003</v>
      </c>
    </row>
    <row r="135" spans="1:13">
      <c r="A135" s="1441">
        <v>3.1</v>
      </c>
      <c r="B135" s="1427">
        <v>1.0354000000000001</v>
      </c>
      <c r="C135" s="1427">
        <v>1.0354000000000001</v>
      </c>
      <c r="D135" s="1427">
        <v>0.93330000000000002</v>
      </c>
      <c r="E135" s="1427">
        <v>0.93330000000000002</v>
      </c>
      <c r="F135" s="1427">
        <v>0.93330000000000002</v>
      </c>
      <c r="G135" s="1427">
        <v>0.93330000000000002</v>
      </c>
      <c r="H135" s="1427">
        <v>0.93330000000000002</v>
      </c>
      <c r="I135" s="1427">
        <v>0.85970000000000002</v>
      </c>
      <c r="J135" s="1427">
        <v>0.85970000000000002</v>
      </c>
      <c r="K135" s="1427">
        <v>0.85970000000000002</v>
      </c>
      <c r="L135" s="1427">
        <v>0.85970000000000002</v>
      </c>
      <c r="M135" s="1427">
        <v>0.85970000000000002</v>
      </c>
    </row>
    <row r="136" spans="1:13">
      <c r="A136" s="1441">
        <v>3.2</v>
      </c>
      <c r="B136" s="1427">
        <v>1.0259</v>
      </c>
      <c r="C136" s="1427">
        <v>1.0259</v>
      </c>
      <c r="D136" s="1427">
        <v>0.92410000000000003</v>
      </c>
      <c r="E136" s="1427">
        <v>0.92410000000000003</v>
      </c>
      <c r="F136" s="1427">
        <v>0.92410000000000003</v>
      </c>
      <c r="G136" s="1427">
        <v>0.92410000000000003</v>
      </c>
      <c r="H136" s="1427">
        <v>0.92410000000000003</v>
      </c>
      <c r="I136" s="1427">
        <v>0.85019999999999996</v>
      </c>
      <c r="J136" s="1427">
        <v>0.85019999999999996</v>
      </c>
      <c r="K136" s="1427">
        <v>0.85019999999999996</v>
      </c>
      <c r="L136" s="1427">
        <v>0.85019999999999996</v>
      </c>
      <c r="M136" s="1427">
        <v>0.85019999999999996</v>
      </c>
    </row>
    <row r="137" spans="1:13">
      <c r="A137" s="1441">
        <v>3.3</v>
      </c>
      <c r="B137" s="1427">
        <v>1.0168999999999999</v>
      </c>
      <c r="C137" s="1427">
        <v>1.0168999999999999</v>
      </c>
      <c r="D137" s="1427">
        <v>0.91539999999999999</v>
      </c>
      <c r="E137" s="1427">
        <v>0.91539999999999999</v>
      </c>
      <c r="F137" s="1427">
        <v>0.91539999999999999</v>
      </c>
      <c r="G137" s="1427">
        <v>0.91539999999999999</v>
      </c>
      <c r="H137" s="1427">
        <v>0.91539999999999999</v>
      </c>
      <c r="I137" s="1427">
        <v>0.84109999999999996</v>
      </c>
      <c r="J137" s="1427">
        <v>0.84109999999999996</v>
      </c>
      <c r="K137" s="1427">
        <v>0.84109999999999996</v>
      </c>
      <c r="L137" s="1427">
        <v>0.84109999999999996</v>
      </c>
      <c r="M137" s="1427">
        <v>0.84109999999999996</v>
      </c>
    </row>
    <row r="138" spans="1:13">
      <c r="A138" s="1441">
        <v>3.4</v>
      </c>
      <c r="B138" s="1427">
        <v>1.0082</v>
      </c>
      <c r="C138" s="1427">
        <v>1.0082</v>
      </c>
      <c r="D138" s="1427">
        <v>0.90710000000000002</v>
      </c>
      <c r="E138" s="1427">
        <v>0.90710000000000002</v>
      </c>
      <c r="F138" s="1427">
        <v>0.90710000000000002</v>
      </c>
      <c r="G138" s="1427">
        <v>0.90710000000000002</v>
      </c>
      <c r="H138" s="1427">
        <v>0.90710000000000002</v>
      </c>
      <c r="I138" s="1427">
        <v>0.83240000000000003</v>
      </c>
      <c r="J138" s="1427">
        <v>0.83240000000000003</v>
      </c>
      <c r="K138" s="1427">
        <v>0.83240000000000003</v>
      </c>
      <c r="L138" s="1427">
        <v>0.83240000000000003</v>
      </c>
      <c r="M138" s="1427">
        <v>0.83240000000000003</v>
      </c>
    </row>
    <row r="139" spans="1:13">
      <c r="A139" s="1441">
        <v>3.5</v>
      </c>
      <c r="B139" s="1427">
        <v>1</v>
      </c>
      <c r="C139" s="1427">
        <v>1</v>
      </c>
      <c r="D139" s="1427">
        <v>0.89929999999999999</v>
      </c>
      <c r="E139" s="1427">
        <v>0.89929999999999999</v>
      </c>
      <c r="F139" s="1427">
        <v>0.89929999999999999</v>
      </c>
      <c r="G139" s="1427">
        <v>0.89929999999999999</v>
      </c>
      <c r="H139" s="1427">
        <v>0.89929999999999999</v>
      </c>
      <c r="I139" s="1427">
        <v>0.82410000000000005</v>
      </c>
      <c r="J139" s="1427">
        <v>0.82410000000000005</v>
      </c>
      <c r="K139" s="1427">
        <v>0.82410000000000005</v>
      </c>
      <c r="L139" s="1427">
        <v>0.82410000000000005</v>
      </c>
      <c r="M139" s="1427">
        <v>0.82410000000000005</v>
      </c>
    </row>
    <row r="140" spans="1:13">
      <c r="A140" s="1441">
        <v>3.6</v>
      </c>
      <c r="B140" s="1427">
        <v>0.99219999999999997</v>
      </c>
      <c r="C140" s="1427">
        <v>0.99219999999999997</v>
      </c>
      <c r="D140" s="1427">
        <v>0.89190000000000003</v>
      </c>
      <c r="E140" s="1427">
        <v>0.89190000000000003</v>
      </c>
      <c r="F140" s="1427">
        <v>0.89190000000000003</v>
      </c>
      <c r="G140" s="1427">
        <v>0.89190000000000003</v>
      </c>
      <c r="H140" s="1427">
        <v>0.89190000000000003</v>
      </c>
      <c r="I140" s="1427">
        <v>0.81620000000000004</v>
      </c>
      <c r="J140" s="1427">
        <v>0.81620000000000004</v>
      </c>
      <c r="K140" s="1427">
        <v>0.81620000000000004</v>
      </c>
      <c r="L140" s="1427">
        <v>0.81620000000000004</v>
      </c>
      <c r="M140" s="1427">
        <v>0.81620000000000004</v>
      </c>
    </row>
    <row r="141" spans="1:13">
      <c r="A141" s="1441">
        <v>3.7</v>
      </c>
      <c r="B141" s="1427">
        <v>0.98480000000000001</v>
      </c>
      <c r="C141" s="1427">
        <v>0.98480000000000001</v>
      </c>
      <c r="D141" s="1427">
        <v>0.88480000000000003</v>
      </c>
      <c r="E141" s="1427">
        <v>0.88480000000000003</v>
      </c>
      <c r="F141" s="1427">
        <v>0.88480000000000003</v>
      </c>
      <c r="G141" s="1427">
        <v>0.88480000000000003</v>
      </c>
      <c r="H141" s="1427">
        <v>0.88480000000000003</v>
      </c>
      <c r="I141" s="1427">
        <v>0.80869999999999997</v>
      </c>
      <c r="J141" s="1427">
        <v>0.80869999999999997</v>
      </c>
      <c r="K141" s="1427">
        <v>0.80869999999999997</v>
      </c>
      <c r="L141" s="1427">
        <v>0.80869999999999997</v>
      </c>
      <c r="M141" s="1427">
        <v>0.80869999999999997</v>
      </c>
    </row>
    <row r="142" spans="1:13">
      <c r="A142" s="1441">
        <v>3.8</v>
      </c>
      <c r="B142" s="1427">
        <v>0.9778</v>
      </c>
      <c r="C142" s="1427">
        <v>0.9778</v>
      </c>
      <c r="D142" s="1427">
        <v>0.87809999999999999</v>
      </c>
      <c r="E142" s="1427">
        <v>0.87809999999999999</v>
      </c>
      <c r="F142" s="1427">
        <v>0.87809999999999999</v>
      </c>
      <c r="G142" s="1427">
        <v>0.87809999999999999</v>
      </c>
      <c r="H142" s="1427">
        <v>0.87809999999999999</v>
      </c>
      <c r="I142" s="1427">
        <v>0.80159999999999998</v>
      </c>
      <c r="J142" s="1427">
        <v>0.80159999999999998</v>
      </c>
      <c r="K142" s="1427">
        <v>0.80159999999999998</v>
      </c>
      <c r="L142" s="1427">
        <v>0.80159999999999998</v>
      </c>
      <c r="M142" s="1427">
        <v>0.80159999999999998</v>
      </c>
    </row>
    <row r="143" spans="1:13">
      <c r="A143" s="1441">
        <v>3.9</v>
      </c>
      <c r="B143" s="1427">
        <v>0.97119999999999995</v>
      </c>
      <c r="C143" s="1427">
        <v>0.97119999999999995</v>
      </c>
      <c r="D143" s="1427">
        <v>0.87180000000000002</v>
      </c>
      <c r="E143" s="1427">
        <v>0.87180000000000002</v>
      </c>
      <c r="F143" s="1427">
        <v>0.87180000000000002</v>
      </c>
      <c r="G143" s="1427">
        <v>0.87180000000000002</v>
      </c>
      <c r="H143" s="1427">
        <v>0.87180000000000002</v>
      </c>
      <c r="I143" s="1427">
        <v>0.79479999999999995</v>
      </c>
      <c r="J143" s="1427">
        <v>0.79479999999999995</v>
      </c>
      <c r="K143" s="1427">
        <v>0.79479999999999995</v>
      </c>
      <c r="L143" s="1427">
        <v>0.79479999999999995</v>
      </c>
      <c r="M143" s="1427">
        <v>0.79479999999999995</v>
      </c>
    </row>
    <row r="144" spans="1:13">
      <c r="A144" s="1441">
        <v>4</v>
      </c>
      <c r="B144" s="1427">
        <v>0.96499999999999997</v>
      </c>
      <c r="C144" s="1427">
        <v>0.96499999999999997</v>
      </c>
      <c r="D144" s="1427">
        <v>0.86580000000000001</v>
      </c>
      <c r="E144" s="1427">
        <v>0.86580000000000001</v>
      </c>
      <c r="F144" s="1427">
        <v>0.86580000000000001</v>
      </c>
      <c r="G144" s="1427">
        <v>0.86580000000000001</v>
      </c>
      <c r="H144" s="1427">
        <v>0.86580000000000001</v>
      </c>
      <c r="I144" s="1427">
        <v>0.7883</v>
      </c>
      <c r="J144" s="1427">
        <v>0.7883</v>
      </c>
      <c r="K144" s="1427">
        <v>0.7883</v>
      </c>
      <c r="L144" s="1427">
        <v>0.7883</v>
      </c>
      <c r="M144" s="1427">
        <v>0.7883</v>
      </c>
    </row>
    <row r="145" spans="1:13">
      <c r="A145" s="1441">
        <v>4.0999999999999996</v>
      </c>
      <c r="B145" s="1427">
        <v>0.95909999999999995</v>
      </c>
      <c r="C145" s="1427">
        <v>0.95909999999999995</v>
      </c>
      <c r="D145" s="1427">
        <v>0.86009999999999998</v>
      </c>
      <c r="E145" s="1427">
        <v>0.86009999999999998</v>
      </c>
      <c r="F145" s="1427">
        <v>0.86009999999999998</v>
      </c>
      <c r="G145" s="1427">
        <v>0.86009999999999998</v>
      </c>
      <c r="H145" s="1427">
        <v>0.86009999999999998</v>
      </c>
      <c r="I145" s="1427">
        <v>0.78200000000000003</v>
      </c>
      <c r="J145" s="1427">
        <v>0.78200000000000003</v>
      </c>
      <c r="K145" s="1427">
        <v>0.78200000000000003</v>
      </c>
      <c r="L145" s="1427">
        <v>0.78200000000000003</v>
      </c>
      <c r="M145" s="1427">
        <v>0.78200000000000003</v>
      </c>
    </row>
    <row r="146" spans="1:13">
      <c r="A146" s="1441">
        <v>4.2</v>
      </c>
      <c r="B146" s="1427">
        <v>0.95350000000000001</v>
      </c>
      <c r="C146" s="1427">
        <v>0.95350000000000001</v>
      </c>
      <c r="D146" s="1427">
        <v>0.85470000000000002</v>
      </c>
      <c r="E146" s="1427">
        <v>0.85470000000000002</v>
      </c>
      <c r="F146" s="1427">
        <v>0.85470000000000002</v>
      </c>
      <c r="G146" s="1427">
        <v>0.85470000000000002</v>
      </c>
      <c r="H146" s="1427">
        <v>0.85470000000000002</v>
      </c>
      <c r="I146" s="1427">
        <v>0.77600000000000002</v>
      </c>
      <c r="J146" s="1427">
        <v>0.77600000000000002</v>
      </c>
      <c r="K146" s="1427">
        <v>0.77600000000000002</v>
      </c>
      <c r="L146" s="1427">
        <v>0.77600000000000002</v>
      </c>
      <c r="M146" s="1427">
        <v>0.77600000000000002</v>
      </c>
    </row>
    <row r="147" spans="1:13">
      <c r="A147" s="1441">
        <v>4.3</v>
      </c>
      <c r="B147" s="1427">
        <v>0.94820000000000004</v>
      </c>
      <c r="C147" s="1427">
        <v>0.94820000000000004</v>
      </c>
      <c r="D147" s="1427">
        <v>0.84960000000000002</v>
      </c>
      <c r="E147" s="1427">
        <v>0.84960000000000002</v>
      </c>
      <c r="F147" s="1427">
        <v>0.84960000000000002</v>
      </c>
      <c r="G147" s="1427">
        <v>0.84960000000000002</v>
      </c>
      <c r="H147" s="1427">
        <v>0.84960000000000002</v>
      </c>
      <c r="I147" s="1427">
        <v>0.77029999999999998</v>
      </c>
      <c r="J147" s="1427">
        <v>0.77029999999999998</v>
      </c>
      <c r="K147" s="1427">
        <v>0.77029999999999998</v>
      </c>
      <c r="L147" s="1427">
        <v>0.77029999999999998</v>
      </c>
      <c r="M147" s="1427">
        <v>0.77029999999999998</v>
      </c>
    </row>
    <row r="148" spans="1:13">
      <c r="A148" s="1441">
        <v>4.4000000000000004</v>
      </c>
      <c r="B148" s="1427">
        <v>0.94320000000000004</v>
      </c>
      <c r="C148" s="1427">
        <v>0.94320000000000004</v>
      </c>
      <c r="D148" s="1427">
        <v>0.8448</v>
      </c>
      <c r="E148" s="1427">
        <v>0.8448</v>
      </c>
      <c r="F148" s="1427">
        <v>0.8448</v>
      </c>
      <c r="G148" s="1427">
        <v>0.8448</v>
      </c>
      <c r="H148" s="1427">
        <v>0.8448</v>
      </c>
      <c r="I148" s="1427">
        <v>0.76490000000000002</v>
      </c>
      <c r="J148" s="1427">
        <v>0.76490000000000002</v>
      </c>
      <c r="K148" s="1427">
        <v>0.76490000000000002</v>
      </c>
      <c r="L148" s="1427">
        <v>0.76490000000000002</v>
      </c>
      <c r="M148" s="1427">
        <v>0.76490000000000002</v>
      </c>
    </row>
    <row r="149" spans="1:13">
      <c r="A149" s="1441">
        <v>4.5</v>
      </c>
      <c r="B149" s="1427">
        <v>0.9385</v>
      </c>
      <c r="C149" s="1427">
        <v>0.9385</v>
      </c>
      <c r="D149" s="1427">
        <v>0.84019999999999995</v>
      </c>
      <c r="E149" s="1427">
        <v>0.84019999999999995</v>
      </c>
      <c r="F149" s="1427">
        <v>0.84019999999999995</v>
      </c>
      <c r="G149" s="1427">
        <v>0.84019999999999995</v>
      </c>
      <c r="H149" s="1427">
        <v>0.84019999999999995</v>
      </c>
      <c r="I149" s="1427">
        <v>0.75970000000000004</v>
      </c>
      <c r="J149" s="1427">
        <v>0.75970000000000004</v>
      </c>
      <c r="K149" s="1427">
        <v>0.75970000000000004</v>
      </c>
      <c r="L149" s="1427">
        <v>0.75970000000000004</v>
      </c>
      <c r="M149" s="1427">
        <v>0.75970000000000004</v>
      </c>
    </row>
    <row r="150" spans="1:13">
      <c r="A150" s="1441">
        <v>4.5999999999999996</v>
      </c>
      <c r="B150" s="1427">
        <v>0.93410000000000004</v>
      </c>
      <c r="C150" s="1427">
        <v>0.93410000000000004</v>
      </c>
      <c r="D150" s="1427">
        <v>0.83579999999999999</v>
      </c>
      <c r="E150" s="1427">
        <v>0.83579999999999999</v>
      </c>
      <c r="F150" s="1427">
        <v>0.83579999999999999</v>
      </c>
      <c r="G150" s="1427">
        <v>0.83579999999999999</v>
      </c>
      <c r="H150" s="1427">
        <v>0.83579999999999999</v>
      </c>
      <c r="I150" s="1427">
        <v>0.75470000000000004</v>
      </c>
      <c r="J150" s="1427">
        <v>0.75470000000000004</v>
      </c>
      <c r="K150" s="1427">
        <v>0.75470000000000004</v>
      </c>
      <c r="L150" s="1427">
        <v>0.75470000000000004</v>
      </c>
      <c r="M150" s="1427">
        <v>0.75470000000000004</v>
      </c>
    </row>
    <row r="151" spans="1:13">
      <c r="A151" s="1441">
        <v>4.7</v>
      </c>
      <c r="B151" s="1427">
        <v>0.92989999999999995</v>
      </c>
      <c r="C151" s="1427">
        <v>0.92989999999999995</v>
      </c>
      <c r="D151" s="1427">
        <v>0.83160000000000001</v>
      </c>
      <c r="E151" s="1427">
        <v>0.83160000000000001</v>
      </c>
      <c r="F151" s="1427">
        <v>0.83160000000000001</v>
      </c>
      <c r="G151" s="1427">
        <v>0.83160000000000001</v>
      </c>
      <c r="H151" s="1427">
        <v>0.83160000000000001</v>
      </c>
      <c r="I151" s="1427">
        <v>0.74990000000000001</v>
      </c>
      <c r="J151" s="1427">
        <v>0.74990000000000001</v>
      </c>
      <c r="K151" s="1427">
        <v>0.74990000000000001</v>
      </c>
      <c r="L151" s="1427">
        <v>0.74990000000000001</v>
      </c>
      <c r="M151" s="1427">
        <v>0.74990000000000001</v>
      </c>
    </row>
    <row r="152" spans="1:13">
      <c r="A152" s="1441">
        <v>4.8</v>
      </c>
      <c r="B152" s="1427">
        <v>0.92589999999999995</v>
      </c>
      <c r="C152" s="1427">
        <v>0.92589999999999995</v>
      </c>
      <c r="D152" s="1427">
        <v>0.82769999999999999</v>
      </c>
      <c r="E152" s="1427">
        <v>0.82769999999999999</v>
      </c>
      <c r="F152" s="1427">
        <v>0.82769999999999999</v>
      </c>
      <c r="G152" s="1427">
        <v>0.82769999999999999</v>
      </c>
      <c r="H152" s="1427">
        <v>0.82769999999999999</v>
      </c>
      <c r="I152" s="1427">
        <v>0.74529999999999996</v>
      </c>
      <c r="J152" s="1427">
        <v>0.74529999999999996</v>
      </c>
      <c r="K152" s="1427">
        <v>0.74529999999999996</v>
      </c>
      <c r="L152" s="1427">
        <v>0.74529999999999996</v>
      </c>
      <c r="M152" s="1427">
        <v>0.74529999999999996</v>
      </c>
    </row>
    <row r="153" spans="1:13">
      <c r="A153" s="1441">
        <v>4.9000000000000004</v>
      </c>
      <c r="B153" s="1427">
        <v>0.92210000000000003</v>
      </c>
      <c r="C153" s="1427">
        <v>0.92210000000000003</v>
      </c>
      <c r="D153" s="1427">
        <v>0.82389999999999997</v>
      </c>
      <c r="E153" s="1427">
        <v>0.82389999999999997</v>
      </c>
      <c r="F153" s="1427">
        <v>0.82389999999999997</v>
      </c>
      <c r="G153" s="1427">
        <v>0.82389999999999997</v>
      </c>
      <c r="H153" s="1427">
        <v>0.82389999999999997</v>
      </c>
      <c r="I153" s="1427">
        <v>0.7409</v>
      </c>
      <c r="J153" s="1427">
        <v>0.7409</v>
      </c>
      <c r="K153" s="1427">
        <v>0.7409</v>
      </c>
      <c r="L153" s="1427">
        <v>0.7409</v>
      </c>
      <c r="M153" s="1427">
        <v>0.7409</v>
      </c>
    </row>
    <row r="154" spans="1:13">
      <c r="A154" s="1441">
        <v>5</v>
      </c>
      <c r="B154" s="1427">
        <v>0.91849999999999998</v>
      </c>
      <c r="C154" s="1427">
        <v>0.91849999999999998</v>
      </c>
      <c r="D154" s="1427">
        <v>0.82030000000000003</v>
      </c>
      <c r="E154" s="1427">
        <v>0.82030000000000003</v>
      </c>
      <c r="F154" s="1427">
        <v>0.82030000000000003</v>
      </c>
      <c r="G154" s="1427">
        <v>0.82030000000000003</v>
      </c>
      <c r="H154" s="1427">
        <v>0.82030000000000003</v>
      </c>
      <c r="I154" s="1427">
        <v>0.73670000000000002</v>
      </c>
      <c r="J154" s="1427">
        <v>0.73670000000000002</v>
      </c>
      <c r="K154" s="1427">
        <v>0.73670000000000002</v>
      </c>
      <c r="L154" s="1427">
        <v>0.73670000000000002</v>
      </c>
      <c r="M154" s="1427">
        <v>0.73670000000000002</v>
      </c>
    </row>
    <row r="155" spans="1:13">
      <c r="A155" s="1418">
        <v>5.0999999999999996</v>
      </c>
      <c r="B155" s="1427">
        <v>0.91510000000000002</v>
      </c>
      <c r="C155" s="1427">
        <v>0.91510000000000002</v>
      </c>
      <c r="D155" s="1427">
        <v>0.81689999999999996</v>
      </c>
      <c r="E155" s="1427">
        <v>0.81689999999999996</v>
      </c>
      <c r="F155" s="1427">
        <v>0.81689999999999996</v>
      </c>
      <c r="G155" s="1427">
        <v>0.81689999999999996</v>
      </c>
      <c r="H155" s="1427">
        <v>0.81689999999999996</v>
      </c>
      <c r="I155" s="1427">
        <v>0.73270000000000002</v>
      </c>
      <c r="J155" s="1427">
        <v>0.73270000000000002</v>
      </c>
      <c r="K155" s="1427">
        <v>0.73270000000000002</v>
      </c>
      <c r="L155" s="1427">
        <v>0.73270000000000002</v>
      </c>
      <c r="M155" s="1427">
        <v>0.73270000000000002</v>
      </c>
    </row>
    <row r="156" spans="1:13">
      <c r="A156" s="1418">
        <v>5.2</v>
      </c>
      <c r="B156" s="1427">
        <v>0.91190000000000004</v>
      </c>
      <c r="C156" s="1427">
        <v>0.91190000000000004</v>
      </c>
      <c r="D156" s="1427">
        <v>0.81359999999999999</v>
      </c>
      <c r="E156" s="1427">
        <v>0.81359999999999999</v>
      </c>
      <c r="F156" s="1427">
        <v>0.81359999999999999</v>
      </c>
      <c r="G156" s="1427">
        <v>0.81359999999999999</v>
      </c>
      <c r="H156" s="1427">
        <v>0.81359999999999999</v>
      </c>
      <c r="I156" s="1427">
        <v>0.72889999999999999</v>
      </c>
      <c r="J156" s="1427">
        <v>0.72889999999999999</v>
      </c>
      <c r="K156" s="1427">
        <v>0.72889999999999999</v>
      </c>
      <c r="L156" s="1427">
        <v>0.72889999999999999</v>
      </c>
      <c r="M156" s="1427">
        <v>0.72889999999999999</v>
      </c>
    </row>
    <row r="157" spans="1:13">
      <c r="A157" s="1418">
        <v>5.3</v>
      </c>
      <c r="B157" s="1427">
        <v>0.90880000000000005</v>
      </c>
      <c r="C157" s="1427">
        <v>0.90880000000000005</v>
      </c>
      <c r="D157" s="1427">
        <v>0.8105</v>
      </c>
      <c r="E157" s="1427">
        <v>0.8105</v>
      </c>
      <c r="F157" s="1427">
        <v>0.8105</v>
      </c>
      <c r="G157" s="1427">
        <v>0.8105</v>
      </c>
      <c r="H157" s="1427">
        <v>0.8105</v>
      </c>
      <c r="I157" s="1427">
        <v>0.72529999999999994</v>
      </c>
      <c r="J157" s="1427">
        <v>0.72529999999999994</v>
      </c>
      <c r="K157" s="1427">
        <v>0.72529999999999994</v>
      </c>
      <c r="L157" s="1427">
        <v>0.72529999999999994</v>
      </c>
      <c r="M157" s="1427">
        <v>0.72529999999999994</v>
      </c>
    </row>
    <row r="158" spans="1:13">
      <c r="A158" s="1418">
        <v>5.4</v>
      </c>
      <c r="B158" s="1427">
        <v>0.90580000000000005</v>
      </c>
      <c r="C158" s="1427">
        <v>0.90580000000000005</v>
      </c>
      <c r="D158" s="1427">
        <v>0.8075</v>
      </c>
      <c r="E158" s="1427">
        <v>0.8075</v>
      </c>
      <c r="F158" s="1427">
        <v>0.8075</v>
      </c>
      <c r="G158" s="1427">
        <v>0.8075</v>
      </c>
      <c r="H158" s="1427">
        <v>0.8075</v>
      </c>
      <c r="I158" s="1427">
        <v>0.7218</v>
      </c>
      <c r="J158" s="1427">
        <v>0.7218</v>
      </c>
      <c r="K158" s="1427">
        <v>0.7218</v>
      </c>
      <c r="L158" s="1427">
        <v>0.7218</v>
      </c>
      <c r="M158" s="1427">
        <v>0.7218</v>
      </c>
    </row>
    <row r="159" spans="1:13">
      <c r="A159" s="1418">
        <v>5.5</v>
      </c>
      <c r="B159" s="1427">
        <v>0.90290000000000004</v>
      </c>
      <c r="C159" s="1427">
        <v>0.90290000000000004</v>
      </c>
      <c r="D159" s="1427">
        <v>0.80469999999999997</v>
      </c>
      <c r="E159" s="1427">
        <v>0.80469999999999997</v>
      </c>
      <c r="F159" s="1427">
        <v>0.80469999999999997</v>
      </c>
      <c r="G159" s="1427">
        <v>0.80469999999999997</v>
      </c>
      <c r="H159" s="1427">
        <v>0.80469999999999997</v>
      </c>
      <c r="I159" s="1427">
        <v>0.71840000000000004</v>
      </c>
      <c r="J159" s="1427">
        <v>0.71840000000000004</v>
      </c>
      <c r="K159" s="1427">
        <v>0.71840000000000004</v>
      </c>
      <c r="L159" s="1427">
        <v>0.71840000000000004</v>
      </c>
      <c r="M159" s="1427">
        <v>0.71840000000000004</v>
      </c>
    </row>
    <row r="160" spans="1:13">
      <c r="A160" s="1418">
        <v>5.6</v>
      </c>
      <c r="B160" s="1427">
        <v>0.90010000000000001</v>
      </c>
      <c r="C160" s="1427">
        <v>0.90010000000000001</v>
      </c>
      <c r="D160" s="1427">
        <v>0.80200000000000005</v>
      </c>
      <c r="E160" s="1427">
        <v>0.80200000000000005</v>
      </c>
      <c r="F160" s="1427">
        <v>0.80200000000000005</v>
      </c>
      <c r="G160" s="1427">
        <v>0.80200000000000005</v>
      </c>
      <c r="H160" s="1427">
        <v>0.80200000000000005</v>
      </c>
      <c r="I160" s="1427">
        <v>0.71509999999999996</v>
      </c>
      <c r="J160" s="1427">
        <v>0.71509999999999996</v>
      </c>
      <c r="K160" s="1427">
        <v>0.71509999999999996</v>
      </c>
      <c r="L160" s="1427">
        <v>0.71509999999999996</v>
      </c>
      <c r="M160" s="1427">
        <v>0.71509999999999996</v>
      </c>
    </row>
    <row r="161" spans="1:13">
      <c r="A161" s="1441">
        <v>5.7</v>
      </c>
      <c r="B161" s="1427">
        <v>0.89749999999999996</v>
      </c>
      <c r="C161" s="1427">
        <v>0.89749999999999996</v>
      </c>
      <c r="D161" s="1427">
        <v>0.79930000000000001</v>
      </c>
      <c r="E161" s="1427">
        <v>0.79930000000000001</v>
      </c>
      <c r="F161" s="1427">
        <v>0.79930000000000001</v>
      </c>
      <c r="G161" s="1427">
        <v>0.79930000000000001</v>
      </c>
      <c r="H161" s="1427">
        <v>0.79930000000000001</v>
      </c>
      <c r="I161" s="1427">
        <v>0.71189999999999998</v>
      </c>
      <c r="J161" s="1427">
        <v>0.71189999999999998</v>
      </c>
      <c r="K161" s="1427">
        <v>0.71189999999999998</v>
      </c>
      <c r="L161" s="1427">
        <v>0.71189999999999998</v>
      </c>
      <c r="M161" s="1427">
        <v>0.71189999999999998</v>
      </c>
    </row>
    <row r="162" spans="1:13">
      <c r="A162" s="1418">
        <v>5.8</v>
      </c>
      <c r="B162" s="1427">
        <v>0.89500000000000002</v>
      </c>
      <c r="C162" s="1427">
        <v>0.89500000000000002</v>
      </c>
      <c r="D162" s="1427">
        <v>0.79679999999999995</v>
      </c>
      <c r="E162" s="1427">
        <v>0.79679999999999995</v>
      </c>
      <c r="F162" s="1427">
        <v>0.79679999999999995</v>
      </c>
      <c r="G162" s="1427">
        <v>0.79679999999999995</v>
      </c>
      <c r="H162" s="1427">
        <v>0.79679999999999995</v>
      </c>
      <c r="I162" s="1427">
        <v>0.70879999999999999</v>
      </c>
      <c r="J162" s="1427">
        <v>0.70879999999999999</v>
      </c>
      <c r="K162" s="1427">
        <v>0.70879999999999999</v>
      </c>
      <c r="L162" s="1427">
        <v>0.70879999999999999</v>
      </c>
      <c r="M162" s="1427">
        <v>0.70879999999999999</v>
      </c>
    </row>
    <row r="163" spans="1:13">
      <c r="A163" s="1418">
        <v>5.9</v>
      </c>
      <c r="B163" s="1427">
        <v>0.89259999999999995</v>
      </c>
      <c r="C163" s="1427">
        <v>0.89259999999999995</v>
      </c>
      <c r="D163" s="1427">
        <v>0.7944</v>
      </c>
      <c r="E163" s="1427">
        <v>0.7944</v>
      </c>
      <c r="F163" s="1427">
        <v>0.7944</v>
      </c>
      <c r="G163" s="1427">
        <v>0.7944</v>
      </c>
      <c r="H163" s="1427">
        <v>0.7944</v>
      </c>
      <c r="I163" s="1427">
        <v>0.70579999999999998</v>
      </c>
      <c r="J163" s="1427">
        <v>0.70579999999999998</v>
      </c>
      <c r="K163" s="1427">
        <v>0.70579999999999998</v>
      </c>
      <c r="L163" s="1427">
        <v>0.70579999999999998</v>
      </c>
      <c r="M163" s="1427">
        <v>0.70579999999999998</v>
      </c>
    </row>
    <row r="164" spans="1:13">
      <c r="A164" s="1418">
        <v>6</v>
      </c>
      <c r="B164" s="1427">
        <v>0.89029999999999998</v>
      </c>
      <c r="C164" s="1427">
        <v>0.89029999999999998</v>
      </c>
      <c r="D164" s="1427">
        <v>0.79200000000000004</v>
      </c>
      <c r="E164" s="1427">
        <v>0.79200000000000004</v>
      </c>
      <c r="F164" s="1427">
        <v>0.79200000000000004</v>
      </c>
      <c r="G164" s="1427">
        <v>0.79200000000000004</v>
      </c>
      <c r="H164" s="1427">
        <v>0.79200000000000004</v>
      </c>
      <c r="I164" s="1427">
        <v>0.70289999999999997</v>
      </c>
      <c r="J164" s="1427">
        <v>0.70289999999999997</v>
      </c>
      <c r="K164" s="1427">
        <v>0.70289999999999997</v>
      </c>
      <c r="L164" s="1427">
        <v>0.70289999999999997</v>
      </c>
      <c r="M164" s="1427">
        <v>0.70289999999999997</v>
      </c>
    </row>
    <row r="165" spans="1:13">
      <c r="A165" s="1418">
        <v>6.1</v>
      </c>
      <c r="B165" s="1427">
        <v>0.8881</v>
      </c>
      <c r="C165" s="1427">
        <v>0.8881</v>
      </c>
      <c r="D165" s="1427">
        <v>0.78979999999999995</v>
      </c>
      <c r="E165" s="1427">
        <v>0.78979999999999995</v>
      </c>
      <c r="F165" s="1427">
        <v>0.78979999999999995</v>
      </c>
      <c r="G165" s="1427">
        <v>0.78979999999999995</v>
      </c>
      <c r="H165" s="1427">
        <v>0.78979999999999995</v>
      </c>
      <c r="I165" s="1427">
        <v>0.70009999999999994</v>
      </c>
      <c r="J165" s="1427">
        <v>0.70009999999999994</v>
      </c>
      <c r="K165" s="1427">
        <v>0.70009999999999994</v>
      </c>
      <c r="L165" s="1427">
        <v>0.70009999999999994</v>
      </c>
      <c r="M165" s="1427">
        <v>0.70009999999999994</v>
      </c>
    </row>
    <row r="166" spans="1:13">
      <c r="A166" s="1418">
        <v>6.2</v>
      </c>
      <c r="B166" s="1427">
        <v>0.88600000000000001</v>
      </c>
      <c r="C166" s="1427">
        <v>0.88600000000000001</v>
      </c>
      <c r="D166" s="1427">
        <v>0.78759999999999997</v>
      </c>
      <c r="E166" s="1427">
        <v>0.78759999999999997</v>
      </c>
      <c r="F166" s="1427">
        <v>0.78759999999999997</v>
      </c>
      <c r="G166" s="1427">
        <v>0.78759999999999997</v>
      </c>
      <c r="H166" s="1427">
        <v>0.78759999999999997</v>
      </c>
      <c r="I166" s="1427">
        <v>0.69740000000000002</v>
      </c>
      <c r="J166" s="1427">
        <v>0.69740000000000002</v>
      </c>
      <c r="K166" s="1427">
        <v>0.69740000000000002</v>
      </c>
      <c r="L166" s="1427">
        <v>0.69740000000000002</v>
      </c>
      <c r="M166" s="1427">
        <v>0.69740000000000002</v>
      </c>
    </row>
    <row r="167" spans="1:13">
      <c r="A167" s="1418">
        <v>6.3</v>
      </c>
      <c r="B167" s="1427">
        <v>0.88390000000000002</v>
      </c>
      <c r="C167" s="1427">
        <v>0.88390000000000002</v>
      </c>
      <c r="D167" s="1427">
        <v>0.78549999999999998</v>
      </c>
      <c r="E167" s="1427">
        <v>0.78549999999999998</v>
      </c>
      <c r="F167" s="1427">
        <v>0.78549999999999998</v>
      </c>
      <c r="G167" s="1427">
        <v>0.78549999999999998</v>
      </c>
      <c r="H167" s="1427">
        <v>0.78549999999999998</v>
      </c>
      <c r="I167" s="1427">
        <v>0.69479999999999997</v>
      </c>
      <c r="J167" s="1427">
        <v>0.69479999999999997</v>
      </c>
      <c r="K167" s="1427">
        <v>0.69479999999999997</v>
      </c>
      <c r="L167" s="1427">
        <v>0.69479999999999997</v>
      </c>
      <c r="M167" s="1427">
        <v>0.69479999999999997</v>
      </c>
    </row>
    <row r="168" spans="1:13">
      <c r="A168" s="1418">
        <v>6.4</v>
      </c>
      <c r="B168" s="1427">
        <v>0.88190000000000002</v>
      </c>
      <c r="C168" s="1427">
        <v>0.88190000000000002</v>
      </c>
      <c r="D168" s="1427">
        <v>0.78339999999999999</v>
      </c>
      <c r="E168" s="1427">
        <v>0.78339999999999999</v>
      </c>
      <c r="F168" s="1427">
        <v>0.78339999999999999</v>
      </c>
      <c r="G168" s="1427">
        <v>0.78339999999999999</v>
      </c>
      <c r="H168" s="1427">
        <v>0.78339999999999999</v>
      </c>
      <c r="I168" s="1427">
        <v>0.69230000000000003</v>
      </c>
      <c r="J168" s="1427">
        <v>0.69230000000000003</v>
      </c>
      <c r="K168" s="1427">
        <v>0.69230000000000003</v>
      </c>
      <c r="L168" s="1427">
        <v>0.69230000000000003</v>
      </c>
      <c r="M168" s="1427">
        <v>0.69230000000000003</v>
      </c>
    </row>
    <row r="169" spans="1:13">
      <c r="A169" s="1418">
        <v>6.5</v>
      </c>
      <c r="B169" s="1427">
        <v>0.88</v>
      </c>
      <c r="C169" s="1427">
        <v>0.88</v>
      </c>
      <c r="D169" s="1427">
        <v>0.78139999999999998</v>
      </c>
      <c r="E169" s="1427">
        <v>0.78139999999999998</v>
      </c>
      <c r="F169" s="1427">
        <v>0.78139999999999998</v>
      </c>
      <c r="G169" s="1427">
        <v>0.78139999999999998</v>
      </c>
      <c r="H169" s="1427">
        <v>0.78139999999999998</v>
      </c>
      <c r="I169" s="1427">
        <v>0.68989999999999996</v>
      </c>
      <c r="J169" s="1427">
        <v>0.68989999999999996</v>
      </c>
      <c r="K169" s="1427">
        <v>0.68989999999999996</v>
      </c>
      <c r="L169" s="1427">
        <v>0.68989999999999996</v>
      </c>
      <c r="M169" s="1427">
        <v>0.68989999999999996</v>
      </c>
    </row>
    <row r="170" spans="1:13">
      <c r="A170" s="1418">
        <v>6.6</v>
      </c>
      <c r="B170" s="1427">
        <v>0.87809999999999999</v>
      </c>
      <c r="C170" s="1427">
        <v>0.87809999999999999</v>
      </c>
      <c r="D170" s="1427">
        <v>0.77949999999999997</v>
      </c>
      <c r="E170" s="1427">
        <v>0.77949999999999997</v>
      </c>
      <c r="F170" s="1427">
        <v>0.77949999999999997</v>
      </c>
      <c r="G170" s="1427">
        <v>0.77949999999999997</v>
      </c>
      <c r="H170" s="1427">
        <v>0.77949999999999997</v>
      </c>
      <c r="I170" s="1427">
        <v>0.68759999999999999</v>
      </c>
      <c r="J170" s="1427">
        <v>0.68759999999999999</v>
      </c>
      <c r="K170" s="1427">
        <v>0.68759999999999999</v>
      </c>
      <c r="L170" s="1427">
        <v>0.68759999999999999</v>
      </c>
      <c r="M170" s="1427">
        <v>0.68759999999999999</v>
      </c>
    </row>
    <row r="171" spans="1:13">
      <c r="A171" s="1418">
        <v>6.7</v>
      </c>
      <c r="B171" s="1427">
        <v>0.87629999999999997</v>
      </c>
      <c r="C171" s="1427">
        <v>0.87629999999999997</v>
      </c>
      <c r="D171" s="1427">
        <v>0.77759999999999996</v>
      </c>
      <c r="E171" s="1427">
        <v>0.77759999999999996</v>
      </c>
      <c r="F171" s="1427">
        <v>0.77759999999999996</v>
      </c>
      <c r="G171" s="1427">
        <v>0.77759999999999996</v>
      </c>
      <c r="H171" s="1427">
        <v>0.77759999999999996</v>
      </c>
      <c r="I171" s="1427">
        <v>0.68530000000000002</v>
      </c>
      <c r="J171" s="1427">
        <v>0.68530000000000002</v>
      </c>
      <c r="K171" s="1427">
        <v>0.68530000000000002</v>
      </c>
      <c r="L171" s="1427">
        <v>0.68530000000000002</v>
      </c>
      <c r="M171" s="1427">
        <v>0.68530000000000002</v>
      </c>
    </row>
    <row r="172" spans="1:13">
      <c r="A172" s="1418">
        <v>6.8</v>
      </c>
      <c r="B172" s="1427">
        <v>0.87450000000000006</v>
      </c>
      <c r="C172" s="1427">
        <v>0.87450000000000006</v>
      </c>
      <c r="D172" s="1427">
        <v>0.77569999999999995</v>
      </c>
      <c r="E172" s="1427">
        <v>0.77569999999999995</v>
      </c>
      <c r="F172" s="1427">
        <v>0.77569999999999995</v>
      </c>
      <c r="G172" s="1427">
        <v>0.77569999999999995</v>
      </c>
      <c r="H172" s="1427">
        <v>0.77569999999999995</v>
      </c>
      <c r="I172" s="1427">
        <v>0.68310000000000004</v>
      </c>
      <c r="J172" s="1427">
        <v>0.68310000000000004</v>
      </c>
      <c r="K172" s="1427">
        <v>0.68310000000000004</v>
      </c>
      <c r="L172" s="1427">
        <v>0.68310000000000004</v>
      </c>
      <c r="M172" s="1427">
        <v>0.68310000000000004</v>
      </c>
    </row>
    <row r="173" spans="1:13">
      <c r="A173" s="1418">
        <v>6.9</v>
      </c>
      <c r="B173" s="1427">
        <v>0.87280000000000002</v>
      </c>
      <c r="C173" s="1427">
        <v>0.87280000000000002</v>
      </c>
      <c r="D173" s="1427">
        <v>0.77390000000000003</v>
      </c>
      <c r="E173" s="1427">
        <v>0.77390000000000003</v>
      </c>
      <c r="F173" s="1427">
        <v>0.77390000000000003</v>
      </c>
      <c r="G173" s="1427">
        <v>0.77390000000000003</v>
      </c>
      <c r="H173" s="1427">
        <v>0.77390000000000003</v>
      </c>
      <c r="I173" s="1427">
        <v>0.68089999999999995</v>
      </c>
      <c r="J173" s="1427">
        <v>0.68089999999999995</v>
      </c>
      <c r="K173" s="1427">
        <v>0.68089999999999995</v>
      </c>
      <c r="L173" s="1427">
        <v>0.68089999999999995</v>
      </c>
      <c r="M173" s="1427">
        <v>0.68089999999999995</v>
      </c>
    </row>
    <row r="174" spans="1:13">
      <c r="A174" s="1418">
        <v>7</v>
      </c>
      <c r="B174" s="1427">
        <v>0.87109999999999999</v>
      </c>
      <c r="C174" s="1427">
        <v>0.87109999999999999</v>
      </c>
      <c r="D174" s="1427">
        <v>0.77210000000000001</v>
      </c>
      <c r="E174" s="1427">
        <v>0.77210000000000001</v>
      </c>
      <c r="F174" s="1427">
        <v>0.77210000000000001</v>
      </c>
      <c r="G174" s="1427">
        <v>0.77210000000000001</v>
      </c>
      <c r="H174" s="1427">
        <v>0.77210000000000001</v>
      </c>
      <c r="I174" s="1427">
        <v>0.67879999999999996</v>
      </c>
      <c r="J174" s="1427">
        <v>0.67879999999999996</v>
      </c>
      <c r="K174" s="1427">
        <v>0.67879999999999996</v>
      </c>
      <c r="L174" s="1427">
        <v>0.67879999999999996</v>
      </c>
      <c r="M174" s="1427">
        <v>0.67879999999999996</v>
      </c>
    </row>
    <row r="175" spans="1:13">
      <c r="A175" s="1418">
        <v>7.1</v>
      </c>
      <c r="B175" s="1427">
        <v>0.86939999999999995</v>
      </c>
      <c r="C175" s="1427">
        <v>0.86939999999999995</v>
      </c>
      <c r="D175" s="1427">
        <v>0.77039999999999997</v>
      </c>
      <c r="E175" s="1427">
        <v>0.77039999999999997</v>
      </c>
      <c r="F175" s="1427">
        <v>0.77039999999999997</v>
      </c>
      <c r="G175" s="1427">
        <v>0.77039999999999997</v>
      </c>
      <c r="H175" s="1427">
        <v>0.77039999999999997</v>
      </c>
      <c r="I175" s="1427">
        <v>0.67669999999999997</v>
      </c>
      <c r="J175" s="1427">
        <v>0.67669999999999997</v>
      </c>
      <c r="K175" s="1427">
        <v>0.67669999999999997</v>
      </c>
      <c r="L175" s="1427">
        <v>0.67669999999999997</v>
      </c>
      <c r="M175" s="1427">
        <v>0.67669999999999997</v>
      </c>
    </row>
    <row r="176" spans="1:13">
      <c r="A176" s="1418">
        <v>7.2</v>
      </c>
      <c r="B176" s="1427">
        <v>0.86770000000000003</v>
      </c>
      <c r="C176" s="1427">
        <v>0.86770000000000003</v>
      </c>
      <c r="D176" s="1427">
        <v>0.76870000000000005</v>
      </c>
      <c r="E176" s="1427">
        <v>0.76870000000000005</v>
      </c>
      <c r="F176" s="1427">
        <v>0.76870000000000005</v>
      </c>
      <c r="G176" s="1427">
        <v>0.76870000000000005</v>
      </c>
      <c r="H176" s="1427">
        <v>0.76870000000000005</v>
      </c>
      <c r="I176" s="1427">
        <v>0.67469999999999997</v>
      </c>
      <c r="J176" s="1427">
        <v>0.67469999999999997</v>
      </c>
      <c r="K176" s="1427">
        <v>0.67469999999999997</v>
      </c>
      <c r="L176" s="1427">
        <v>0.67469999999999997</v>
      </c>
      <c r="M176" s="1427">
        <v>0.67469999999999997</v>
      </c>
    </row>
    <row r="177" spans="1:13">
      <c r="A177" s="1418">
        <v>7.3</v>
      </c>
      <c r="B177" s="1427">
        <v>0.86609999999999998</v>
      </c>
      <c r="C177" s="1427">
        <v>0.86609999999999998</v>
      </c>
      <c r="D177" s="1427">
        <v>0.76700000000000002</v>
      </c>
      <c r="E177" s="1427">
        <v>0.76700000000000002</v>
      </c>
      <c r="F177" s="1427">
        <v>0.76700000000000002</v>
      </c>
      <c r="G177" s="1427">
        <v>0.76700000000000002</v>
      </c>
      <c r="H177" s="1427">
        <v>0.76700000000000002</v>
      </c>
      <c r="I177" s="1427">
        <v>0.67269999999999996</v>
      </c>
      <c r="J177" s="1427">
        <v>0.67269999999999996</v>
      </c>
      <c r="K177" s="1427">
        <v>0.67269999999999996</v>
      </c>
      <c r="L177" s="1427">
        <v>0.67269999999999996</v>
      </c>
      <c r="M177" s="1427">
        <v>0.67269999999999996</v>
      </c>
    </row>
    <row r="178" spans="1:13">
      <c r="A178" s="1418">
        <v>7.4</v>
      </c>
      <c r="B178" s="1427">
        <v>0.86450000000000005</v>
      </c>
      <c r="C178" s="1427">
        <v>0.86450000000000005</v>
      </c>
      <c r="D178" s="1427">
        <v>0.76529999999999998</v>
      </c>
      <c r="E178" s="1427">
        <v>0.76529999999999998</v>
      </c>
      <c r="F178" s="1427">
        <v>0.76529999999999998</v>
      </c>
      <c r="G178" s="1427">
        <v>0.76529999999999998</v>
      </c>
      <c r="H178" s="1427">
        <v>0.76529999999999998</v>
      </c>
      <c r="I178" s="1427">
        <v>0.67079999999999995</v>
      </c>
      <c r="J178" s="1427">
        <v>0.67079999999999995</v>
      </c>
      <c r="K178" s="1427">
        <v>0.67079999999999995</v>
      </c>
      <c r="L178" s="1427">
        <v>0.67079999999999995</v>
      </c>
      <c r="M178" s="1427">
        <v>0.67079999999999995</v>
      </c>
    </row>
    <row r="179" spans="1:13">
      <c r="A179" s="1418">
        <v>7.5</v>
      </c>
      <c r="B179" s="1427">
        <v>0.86299999999999999</v>
      </c>
      <c r="C179" s="1427">
        <v>0.86299999999999999</v>
      </c>
      <c r="D179" s="1427">
        <v>0.76359999999999995</v>
      </c>
      <c r="E179" s="1427">
        <v>0.76359999999999995</v>
      </c>
      <c r="F179" s="1427">
        <v>0.76359999999999995</v>
      </c>
      <c r="G179" s="1427">
        <v>0.76359999999999995</v>
      </c>
      <c r="H179" s="1427">
        <v>0.76359999999999995</v>
      </c>
      <c r="I179" s="1427">
        <v>0.66890000000000005</v>
      </c>
      <c r="J179" s="1427">
        <v>0.66890000000000005</v>
      </c>
      <c r="K179" s="1427">
        <v>0.66890000000000005</v>
      </c>
      <c r="L179" s="1427">
        <v>0.66890000000000005</v>
      </c>
      <c r="M179" s="1427">
        <v>0.66890000000000005</v>
      </c>
    </row>
    <row r="180" spans="1:13">
      <c r="A180" s="1418">
        <v>7.6</v>
      </c>
      <c r="B180" s="1427">
        <v>0.86150000000000004</v>
      </c>
      <c r="C180" s="1427">
        <v>0.86150000000000004</v>
      </c>
      <c r="D180" s="1427">
        <v>0.76200000000000001</v>
      </c>
      <c r="E180" s="1427">
        <v>0.76200000000000001</v>
      </c>
      <c r="F180" s="1427">
        <v>0.76200000000000001</v>
      </c>
      <c r="G180" s="1427">
        <v>0.76200000000000001</v>
      </c>
      <c r="H180" s="1427">
        <v>0.76200000000000001</v>
      </c>
      <c r="I180" s="1427">
        <v>0.66700000000000004</v>
      </c>
      <c r="J180" s="1427">
        <v>0.66700000000000004</v>
      </c>
      <c r="K180" s="1427">
        <v>0.66700000000000004</v>
      </c>
      <c r="L180" s="1427">
        <v>0.66700000000000004</v>
      </c>
      <c r="M180" s="1427">
        <v>0.66700000000000004</v>
      </c>
    </row>
    <row r="181" spans="1:13">
      <c r="A181" s="1418">
        <v>7.7</v>
      </c>
      <c r="B181" s="1427">
        <v>0.86</v>
      </c>
      <c r="C181" s="1427">
        <v>0.86</v>
      </c>
      <c r="D181" s="1427">
        <v>0.76039999999999996</v>
      </c>
      <c r="E181" s="1427">
        <v>0.76039999999999996</v>
      </c>
      <c r="F181" s="1427">
        <v>0.76039999999999996</v>
      </c>
      <c r="G181" s="1427">
        <v>0.76039999999999996</v>
      </c>
      <c r="H181" s="1427">
        <v>0.76039999999999996</v>
      </c>
      <c r="I181" s="1427">
        <v>0.66510000000000002</v>
      </c>
      <c r="J181" s="1427">
        <v>0.66510000000000002</v>
      </c>
      <c r="K181" s="1427">
        <v>0.66510000000000002</v>
      </c>
      <c r="L181" s="1427">
        <v>0.66510000000000002</v>
      </c>
      <c r="M181" s="1427">
        <v>0.66510000000000002</v>
      </c>
    </row>
    <row r="182" spans="1:13">
      <c r="A182" s="1418">
        <v>7.8</v>
      </c>
      <c r="B182" s="1427">
        <v>0.85850000000000004</v>
      </c>
      <c r="C182" s="1427">
        <v>0.85850000000000004</v>
      </c>
      <c r="D182" s="1427">
        <v>0.75880000000000003</v>
      </c>
      <c r="E182" s="1427">
        <v>0.75880000000000003</v>
      </c>
      <c r="F182" s="1427">
        <v>0.75880000000000003</v>
      </c>
      <c r="G182" s="1427">
        <v>0.75880000000000003</v>
      </c>
      <c r="H182" s="1427">
        <v>0.75880000000000003</v>
      </c>
      <c r="I182" s="1427">
        <v>0.6633</v>
      </c>
      <c r="J182" s="1427">
        <v>0.6633</v>
      </c>
      <c r="K182" s="1427">
        <v>0.6633</v>
      </c>
      <c r="L182" s="1427">
        <v>0.6633</v>
      </c>
      <c r="M182" s="1427">
        <v>0.6633</v>
      </c>
    </row>
    <row r="183" spans="1:13">
      <c r="A183" s="1418">
        <v>7.9</v>
      </c>
      <c r="B183" s="1427">
        <v>0.85699999999999998</v>
      </c>
      <c r="C183" s="1427">
        <v>0.85699999999999998</v>
      </c>
      <c r="D183" s="1427">
        <v>0.75719999999999998</v>
      </c>
      <c r="E183" s="1427">
        <v>0.75719999999999998</v>
      </c>
      <c r="F183" s="1427">
        <v>0.75719999999999998</v>
      </c>
      <c r="G183" s="1427">
        <v>0.75719999999999998</v>
      </c>
      <c r="H183" s="1427">
        <v>0.75719999999999998</v>
      </c>
      <c r="I183" s="1427">
        <v>0.66149999999999998</v>
      </c>
      <c r="J183" s="1427">
        <v>0.66149999999999998</v>
      </c>
      <c r="K183" s="1427">
        <v>0.66149999999999998</v>
      </c>
      <c r="L183" s="1427">
        <v>0.66149999999999998</v>
      </c>
      <c r="M183" s="1427">
        <v>0.66149999999999998</v>
      </c>
    </row>
    <row r="184" spans="1:13">
      <c r="A184" s="1418">
        <v>8</v>
      </c>
      <c r="B184" s="1427">
        <v>0.85550000000000004</v>
      </c>
      <c r="C184" s="1427">
        <v>0.85550000000000004</v>
      </c>
      <c r="D184" s="1427">
        <v>0.75570000000000004</v>
      </c>
      <c r="E184" s="1427">
        <v>0.75570000000000004</v>
      </c>
      <c r="F184" s="1427">
        <v>0.75570000000000004</v>
      </c>
      <c r="G184" s="1427">
        <v>0.75570000000000004</v>
      </c>
      <c r="H184" s="1427">
        <v>0.75570000000000004</v>
      </c>
      <c r="I184" s="1427">
        <v>0.65969999999999995</v>
      </c>
      <c r="J184" s="1427">
        <v>0.65969999999999995</v>
      </c>
      <c r="K184" s="1427">
        <v>0.65969999999999995</v>
      </c>
      <c r="L184" s="1427">
        <v>0.65969999999999995</v>
      </c>
      <c r="M184" s="1427">
        <v>0.65969999999999995</v>
      </c>
    </row>
    <row r="185" spans="1:13">
      <c r="A185" s="1418">
        <v>8.1</v>
      </c>
      <c r="B185" s="1427">
        <v>0.85399999999999998</v>
      </c>
      <c r="C185" s="1427">
        <v>0.85399999999999998</v>
      </c>
      <c r="D185" s="1427">
        <v>0.75419999999999998</v>
      </c>
      <c r="E185" s="1427">
        <v>0.75419999999999998</v>
      </c>
      <c r="F185" s="1427">
        <v>0.75419999999999998</v>
      </c>
      <c r="G185" s="1427">
        <v>0.75419999999999998</v>
      </c>
      <c r="H185" s="1427">
        <v>0.75419999999999998</v>
      </c>
      <c r="I185" s="1427">
        <v>0.65800000000000003</v>
      </c>
      <c r="J185" s="1427">
        <v>0.65800000000000003</v>
      </c>
      <c r="K185" s="1427">
        <v>0.65800000000000003</v>
      </c>
      <c r="L185" s="1427">
        <v>0.65800000000000003</v>
      </c>
      <c r="M185" s="1427">
        <v>0.65800000000000003</v>
      </c>
    </row>
    <row r="186" spans="1:13">
      <c r="A186" s="1418">
        <v>8.1999999999999993</v>
      </c>
      <c r="B186" s="1427">
        <v>0.85250000000000004</v>
      </c>
      <c r="C186" s="1427">
        <v>0.85250000000000004</v>
      </c>
      <c r="D186" s="1427">
        <v>0.75270000000000004</v>
      </c>
      <c r="E186" s="1427">
        <v>0.75270000000000004</v>
      </c>
      <c r="F186" s="1427">
        <v>0.75270000000000004</v>
      </c>
      <c r="G186" s="1427">
        <v>0.75270000000000004</v>
      </c>
      <c r="H186" s="1427">
        <v>0.75270000000000004</v>
      </c>
      <c r="I186" s="1427">
        <v>0.65629999999999999</v>
      </c>
      <c r="J186" s="1427">
        <v>0.65629999999999999</v>
      </c>
      <c r="K186" s="1427">
        <v>0.65629999999999999</v>
      </c>
      <c r="L186" s="1427">
        <v>0.65629999999999999</v>
      </c>
      <c r="M186" s="1427">
        <v>0.65629999999999999</v>
      </c>
    </row>
    <row r="187" spans="1:13">
      <c r="A187" s="1418">
        <v>8.3000000000000007</v>
      </c>
      <c r="B187" s="1427">
        <v>0.85109999999999997</v>
      </c>
      <c r="C187" s="1427">
        <v>0.85109999999999997</v>
      </c>
      <c r="D187" s="1427">
        <v>0.75119999999999998</v>
      </c>
      <c r="E187" s="1427">
        <v>0.75119999999999998</v>
      </c>
      <c r="F187" s="1427">
        <v>0.75119999999999998</v>
      </c>
      <c r="G187" s="1427">
        <v>0.75119999999999998</v>
      </c>
      <c r="H187" s="1427">
        <v>0.75119999999999998</v>
      </c>
      <c r="I187" s="1427">
        <v>0.65459999999999996</v>
      </c>
      <c r="J187" s="1427">
        <v>0.65459999999999996</v>
      </c>
      <c r="K187" s="1427">
        <v>0.65459999999999996</v>
      </c>
      <c r="L187" s="1427">
        <v>0.65459999999999996</v>
      </c>
      <c r="M187" s="1427">
        <v>0.65459999999999996</v>
      </c>
    </row>
    <row r="188" spans="1:13">
      <c r="A188" s="1418">
        <v>8.4</v>
      </c>
      <c r="B188" s="1427">
        <v>0.84970000000000001</v>
      </c>
      <c r="C188" s="1427">
        <v>0.84970000000000001</v>
      </c>
      <c r="D188" s="1427">
        <v>0.74970000000000003</v>
      </c>
      <c r="E188" s="1427">
        <v>0.74970000000000003</v>
      </c>
      <c r="F188" s="1427">
        <v>0.74970000000000003</v>
      </c>
      <c r="G188" s="1427">
        <v>0.74970000000000003</v>
      </c>
      <c r="H188" s="1427">
        <v>0.74970000000000003</v>
      </c>
      <c r="I188" s="1427">
        <v>0.65300000000000002</v>
      </c>
      <c r="J188" s="1427">
        <v>0.65300000000000002</v>
      </c>
      <c r="K188" s="1427">
        <v>0.65300000000000002</v>
      </c>
      <c r="L188" s="1427">
        <v>0.65300000000000002</v>
      </c>
      <c r="M188" s="1427">
        <v>0.65300000000000002</v>
      </c>
    </row>
    <row r="189" spans="1:13">
      <c r="A189" s="1418">
        <v>8.5</v>
      </c>
      <c r="B189" s="1427">
        <v>0.84830000000000005</v>
      </c>
      <c r="C189" s="1427">
        <v>0.84830000000000005</v>
      </c>
      <c r="D189" s="1427">
        <v>0.74819999999999998</v>
      </c>
      <c r="E189" s="1427">
        <v>0.74819999999999998</v>
      </c>
      <c r="F189" s="1427">
        <v>0.74819999999999998</v>
      </c>
      <c r="G189" s="1427">
        <v>0.74819999999999998</v>
      </c>
      <c r="H189" s="1427">
        <v>0.74819999999999998</v>
      </c>
      <c r="I189" s="1427">
        <v>0.65139999999999998</v>
      </c>
      <c r="J189" s="1427">
        <v>0.65139999999999998</v>
      </c>
      <c r="K189" s="1427">
        <v>0.65139999999999998</v>
      </c>
      <c r="L189" s="1427">
        <v>0.65139999999999998</v>
      </c>
      <c r="M189" s="1427">
        <v>0.65139999999999998</v>
      </c>
    </row>
    <row r="190" spans="1:13">
      <c r="A190" s="1418">
        <v>8.6</v>
      </c>
      <c r="B190" s="1427">
        <v>0.84689999999999999</v>
      </c>
      <c r="C190" s="1427">
        <v>0.84689999999999999</v>
      </c>
      <c r="D190" s="1427">
        <v>0.74670000000000003</v>
      </c>
      <c r="E190" s="1427">
        <v>0.74670000000000003</v>
      </c>
      <c r="F190" s="1427">
        <v>0.74670000000000003</v>
      </c>
      <c r="G190" s="1427">
        <v>0.74670000000000003</v>
      </c>
      <c r="H190" s="1427">
        <v>0.74670000000000003</v>
      </c>
      <c r="I190" s="1427">
        <v>0.64980000000000004</v>
      </c>
      <c r="J190" s="1427">
        <v>0.64980000000000004</v>
      </c>
      <c r="K190" s="1427">
        <v>0.64980000000000004</v>
      </c>
      <c r="L190" s="1427">
        <v>0.64980000000000004</v>
      </c>
      <c r="M190" s="1427">
        <v>0.64980000000000004</v>
      </c>
    </row>
    <row r="191" spans="1:13">
      <c r="A191" s="1418">
        <v>8.6999999999999993</v>
      </c>
      <c r="B191" s="1427">
        <v>0.84550000000000003</v>
      </c>
      <c r="C191" s="1427">
        <v>0.84550000000000003</v>
      </c>
      <c r="D191" s="1427">
        <v>0.74519999999999997</v>
      </c>
      <c r="E191" s="1427">
        <v>0.74519999999999997</v>
      </c>
      <c r="F191" s="1427">
        <v>0.74519999999999997</v>
      </c>
      <c r="G191" s="1427">
        <v>0.74519999999999997</v>
      </c>
      <c r="H191" s="1427">
        <v>0.74519999999999997</v>
      </c>
      <c r="I191" s="1427">
        <v>0.6482</v>
      </c>
      <c r="J191" s="1427">
        <v>0.6482</v>
      </c>
      <c r="K191" s="1427">
        <v>0.6482</v>
      </c>
      <c r="L191" s="1427">
        <v>0.6482</v>
      </c>
      <c r="M191" s="1427">
        <v>0.6482</v>
      </c>
    </row>
    <row r="192" spans="1:13">
      <c r="A192" s="1418">
        <v>8.8000000000000007</v>
      </c>
      <c r="B192" s="1427">
        <v>0.84409999999999996</v>
      </c>
      <c r="C192" s="1427">
        <v>0.84409999999999996</v>
      </c>
      <c r="D192" s="1427">
        <v>0.74370000000000003</v>
      </c>
      <c r="E192" s="1427">
        <v>0.74370000000000003</v>
      </c>
      <c r="F192" s="1427">
        <v>0.74370000000000003</v>
      </c>
      <c r="G192" s="1427">
        <v>0.74370000000000003</v>
      </c>
      <c r="H192" s="1427">
        <v>0.74370000000000003</v>
      </c>
      <c r="I192" s="1427">
        <v>0.64659999999999995</v>
      </c>
      <c r="J192" s="1427">
        <v>0.64659999999999995</v>
      </c>
      <c r="K192" s="1427">
        <v>0.64659999999999995</v>
      </c>
      <c r="L192" s="1427">
        <v>0.64659999999999995</v>
      </c>
      <c r="M192" s="1427">
        <v>0.64659999999999995</v>
      </c>
    </row>
    <row r="193" spans="1:13">
      <c r="A193" s="1418">
        <v>8.9</v>
      </c>
      <c r="B193" s="1427">
        <v>0.84279999999999999</v>
      </c>
      <c r="C193" s="1427">
        <v>0.84279999999999999</v>
      </c>
      <c r="D193" s="1427">
        <v>0.74219999999999997</v>
      </c>
      <c r="E193" s="1427">
        <v>0.74219999999999997</v>
      </c>
      <c r="F193" s="1427">
        <v>0.74219999999999997</v>
      </c>
      <c r="G193" s="1427">
        <v>0.74219999999999997</v>
      </c>
      <c r="H193" s="1427">
        <v>0.74219999999999997</v>
      </c>
      <c r="I193" s="1427">
        <v>0.64500000000000002</v>
      </c>
      <c r="J193" s="1427">
        <v>0.64500000000000002</v>
      </c>
      <c r="K193" s="1427">
        <v>0.64500000000000002</v>
      </c>
      <c r="L193" s="1427">
        <v>0.64500000000000002</v>
      </c>
      <c r="M193" s="1427">
        <v>0.64500000000000002</v>
      </c>
    </row>
    <row r="194" spans="1:13">
      <c r="A194" s="1441">
        <v>9</v>
      </c>
      <c r="B194" s="1427">
        <v>0.84150000000000003</v>
      </c>
      <c r="C194" s="1427">
        <v>0.84150000000000003</v>
      </c>
      <c r="D194" s="1427">
        <v>0.74070000000000003</v>
      </c>
      <c r="E194" s="1427">
        <v>0.74070000000000003</v>
      </c>
      <c r="F194" s="1427">
        <v>0.74070000000000003</v>
      </c>
      <c r="G194" s="1427">
        <v>0.74070000000000003</v>
      </c>
      <c r="H194" s="1427">
        <v>0.74070000000000003</v>
      </c>
      <c r="I194" s="1427">
        <v>0.64349999999999996</v>
      </c>
      <c r="J194" s="1427">
        <v>0.64349999999999996</v>
      </c>
      <c r="K194" s="1427">
        <v>0.64349999999999996</v>
      </c>
      <c r="L194" s="1427">
        <v>0.64349999999999996</v>
      </c>
      <c r="M194" s="1427">
        <v>0.64349999999999996</v>
      </c>
    </row>
    <row r="195" spans="1:13">
      <c r="A195" s="1441">
        <v>9.1</v>
      </c>
      <c r="B195" s="1427">
        <v>0.84019999999999995</v>
      </c>
      <c r="C195" s="1427">
        <v>0.84019999999999995</v>
      </c>
      <c r="D195" s="1427">
        <v>0.73919999999999997</v>
      </c>
      <c r="E195" s="1427">
        <v>0.73919999999999997</v>
      </c>
      <c r="F195" s="1427">
        <v>0.73919999999999997</v>
      </c>
      <c r="G195" s="1427">
        <v>0.73919999999999997</v>
      </c>
      <c r="H195" s="1427">
        <v>0.73919999999999997</v>
      </c>
      <c r="I195" s="1427">
        <v>0.64200000000000002</v>
      </c>
      <c r="J195" s="1427">
        <v>0.64200000000000002</v>
      </c>
      <c r="K195" s="1427">
        <v>0.64200000000000002</v>
      </c>
      <c r="L195" s="1427">
        <v>0.64200000000000002</v>
      </c>
      <c r="M195" s="1427">
        <v>0.64200000000000002</v>
      </c>
    </row>
    <row r="196" spans="1:13">
      <c r="A196" s="1441">
        <v>9.1999999999999993</v>
      </c>
      <c r="B196" s="1427">
        <v>0.83889999999999998</v>
      </c>
      <c r="C196" s="1427">
        <v>0.83889999999999998</v>
      </c>
      <c r="D196" s="1427">
        <v>0.73770000000000002</v>
      </c>
      <c r="E196" s="1427">
        <v>0.73770000000000002</v>
      </c>
      <c r="F196" s="1427">
        <v>0.73770000000000002</v>
      </c>
      <c r="G196" s="1427">
        <v>0.73770000000000002</v>
      </c>
      <c r="H196" s="1427">
        <v>0.73770000000000002</v>
      </c>
      <c r="I196" s="1427">
        <v>0.64059999999999995</v>
      </c>
      <c r="J196" s="1427">
        <v>0.64059999999999995</v>
      </c>
      <c r="K196" s="1427">
        <v>0.64059999999999995</v>
      </c>
      <c r="L196" s="1427">
        <v>0.64059999999999995</v>
      </c>
      <c r="M196" s="1427">
        <v>0.64059999999999995</v>
      </c>
    </row>
    <row r="197" spans="1:13">
      <c r="A197" s="1441">
        <v>9.3000000000000007</v>
      </c>
      <c r="B197" s="1427">
        <v>0.83760000000000001</v>
      </c>
      <c r="C197" s="1427">
        <v>0.83760000000000001</v>
      </c>
      <c r="D197" s="1427">
        <v>0.73629999999999995</v>
      </c>
      <c r="E197" s="1427">
        <v>0.73629999999999995</v>
      </c>
      <c r="F197" s="1427">
        <v>0.73629999999999995</v>
      </c>
      <c r="G197" s="1427">
        <v>0.73629999999999995</v>
      </c>
      <c r="H197" s="1427">
        <v>0.73629999999999995</v>
      </c>
      <c r="I197" s="1427">
        <v>0.63919999999999999</v>
      </c>
      <c r="J197" s="1427">
        <v>0.63919999999999999</v>
      </c>
      <c r="K197" s="1427">
        <v>0.63919999999999999</v>
      </c>
      <c r="L197" s="1427">
        <v>0.63919999999999999</v>
      </c>
      <c r="M197" s="1427">
        <v>0.63919999999999999</v>
      </c>
    </row>
    <row r="198" spans="1:13">
      <c r="A198" s="1441">
        <v>9.4</v>
      </c>
      <c r="B198" s="1427">
        <v>0.83630000000000004</v>
      </c>
      <c r="C198" s="1427">
        <v>0.83630000000000004</v>
      </c>
      <c r="D198" s="1427">
        <v>0.7349</v>
      </c>
      <c r="E198" s="1427">
        <v>0.7349</v>
      </c>
      <c r="F198" s="1427">
        <v>0.7349</v>
      </c>
      <c r="G198" s="1427">
        <v>0.7349</v>
      </c>
      <c r="H198" s="1427">
        <v>0.7349</v>
      </c>
      <c r="I198" s="1427">
        <v>0.63780000000000003</v>
      </c>
      <c r="J198" s="1427">
        <v>0.63780000000000003</v>
      </c>
      <c r="K198" s="1427">
        <v>0.63780000000000003</v>
      </c>
      <c r="L198" s="1427">
        <v>0.63780000000000003</v>
      </c>
      <c r="M198" s="1427">
        <v>0.63780000000000003</v>
      </c>
    </row>
    <row r="199" spans="1:13">
      <c r="A199" s="1441">
        <v>9.5</v>
      </c>
      <c r="B199" s="1427">
        <v>0.83499999999999996</v>
      </c>
      <c r="C199" s="1427">
        <v>0.83499999999999996</v>
      </c>
      <c r="D199" s="1427">
        <v>0.73350000000000004</v>
      </c>
      <c r="E199" s="1427">
        <v>0.73350000000000004</v>
      </c>
      <c r="F199" s="1427">
        <v>0.73350000000000004</v>
      </c>
      <c r="G199" s="1427">
        <v>0.73350000000000004</v>
      </c>
      <c r="H199" s="1427">
        <v>0.73350000000000004</v>
      </c>
      <c r="I199" s="1427">
        <v>0.63639999999999997</v>
      </c>
      <c r="J199" s="1427">
        <v>0.63639999999999997</v>
      </c>
      <c r="K199" s="1427">
        <v>0.63639999999999997</v>
      </c>
      <c r="L199" s="1427">
        <v>0.63639999999999997</v>
      </c>
      <c r="M199" s="1427">
        <v>0.63639999999999997</v>
      </c>
    </row>
    <row r="200" spans="1:13">
      <c r="A200" s="1441">
        <v>9.6</v>
      </c>
      <c r="B200" s="1427">
        <v>0.83379999999999999</v>
      </c>
      <c r="C200" s="1427">
        <v>0.83379999999999999</v>
      </c>
      <c r="D200" s="1427">
        <v>0.73209999999999997</v>
      </c>
      <c r="E200" s="1427">
        <v>0.73209999999999997</v>
      </c>
      <c r="F200" s="1427">
        <v>0.73209999999999997</v>
      </c>
      <c r="G200" s="1427">
        <v>0.73209999999999997</v>
      </c>
      <c r="H200" s="1427">
        <v>0.73209999999999997</v>
      </c>
      <c r="I200" s="1427">
        <v>0.63500000000000001</v>
      </c>
      <c r="J200" s="1427">
        <v>0.63500000000000001</v>
      </c>
      <c r="K200" s="1427">
        <v>0.63500000000000001</v>
      </c>
      <c r="L200" s="1427">
        <v>0.63500000000000001</v>
      </c>
      <c r="M200" s="1427">
        <v>0.63500000000000001</v>
      </c>
    </row>
    <row r="201" spans="1:13">
      <c r="A201" s="1441">
        <v>9.6999999999999993</v>
      </c>
      <c r="B201" s="1427">
        <v>0.83260000000000001</v>
      </c>
      <c r="C201" s="1427">
        <v>0.83260000000000001</v>
      </c>
      <c r="D201" s="1427">
        <v>0.73070000000000002</v>
      </c>
      <c r="E201" s="1427">
        <v>0.73070000000000002</v>
      </c>
      <c r="F201" s="1427">
        <v>0.73070000000000002</v>
      </c>
      <c r="G201" s="1427">
        <v>0.73070000000000002</v>
      </c>
      <c r="H201" s="1427">
        <v>0.73070000000000002</v>
      </c>
      <c r="I201" s="1427">
        <v>0.63360000000000005</v>
      </c>
      <c r="J201" s="1427">
        <v>0.63360000000000005</v>
      </c>
      <c r="K201" s="1427">
        <v>0.63360000000000005</v>
      </c>
      <c r="L201" s="1427">
        <v>0.63360000000000005</v>
      </c>
      <c r="M201" s="1427">
        <v>0.63360000000000005</v>
      </c>
    </row>
    <row r="202" spans="1:13">
      <c r="A202" s="1441">
        <v>9.8000000000000007</v>
      </c>
      <c r="B202" s="1427">
        <v>0.83140000000000003</v>
      </c>
      <c r="C202" s="1427">
        <v>0.83140000000000003</v>
      </c>
      <c r="D202" s="1427">
        <v>0.72929999999999995</v>
      </c>
      <c r="E202" s="1427">
        <v>0.72929999999999995</v>
      </c>
      <c r="F202" s="1427">
        <v>0.72929999999999995</v>
      </c>
      <c r="G202" s="1427">
        <v>0.72929999999999995</v>
      </c>
      <c r="H202" s="1427">
        <v>0.72929999999999995</v>
      </c>
      <c r="I202" s="1427">
        <v>0.63219999999999998</v>
      </c>
      <c r="J202" s="1427">
        <v>0.63219999999999998</v>
      </c>
      <c r="K202" s="1427">
        <v>0.63219999999999998</v>
      </c>
      <c r="L202" s="1427">
        <v>0.63219999999999998</v>
      </c>
      <c r="M202" s="1427">
        <v>0.63219999999999998</v>
      </c>
    </row>
    <row r="203" spans="1:13">
      <c r="A203" s="1441">
        <v>9.9</v>
      </c>
      <c r="B203" s="1427">
        <v>0.83020000000000005</v>
      </c>
      <c r="C203" s="1427">
        <v>0.83020000000000005</v>
      </c>
      <c r="D203" s="1427">
        <v>0.72799999999999998</v>
      </c>
      <c r="E203" s="1427">
        <v>0.72799999999999998</v>
      </c>
      <c r="F203" s="1427">
        <v>0.72799999999999998</v>
      </c>
      <c r="G203" s="1427">
        <v>0.72799999999999998</v>
      </c>
      <c r="H203" s="1427">
        <v>0.72799999999999998</v>
      </c>
      <c r="I203" s="1427">
        <v>0.63080000000000003</v>
      </c>
      <c r="J203" s="1427">
        <v>0.63080000000000003</v>
      </c>
      <c r="K203" s="1427">
        <v>0.63080000000000003</v>
      </c>
      <c r="L203" s="1427">
        <v>0.63080000000000003</v>
      </c>
      <c r="M203" s="1427">
        <v>0.63080000000000003</v>
      </c>
    </row>
    <row r="204" spans="1:13">
      <c r="A204" s="1441">
        <v>10</v>
      </c>
      <c r="B204" s="1427">
        <v>0.82899999999999996</v>
      </c>
      <c r="C204" s="1427">
        <v>0.82899999999999996</v>
      </c>
      <c r="D204" s="1427">
        <v>0.72670000000000001</v>
      </c>
      <c r="E204" s="1427">
        <v>0.72670000000000001</v>
      </c>
      <c r="F204" s="1427">
        <v>0.72670000000000001</v>
      </c>
      <c r="G204" s="1427">
        <v>0.72670000000000001</v>
      </c>
      <c r="H204" s="1427">
        <v>0.72670000000000001</v>
      </c>
      <c r="I204" s="1427">
        <v>0.62939999999999996</v>
      </c>
      <c r="J204" s="1427">
        <v>0.62939999999999996</v>
      </c>
      <c r="K204" s="1427">
        <v>0.62939999999999996</v>
      </c>
      <c r="L204" s="1427">
        <v>0.62939999999999996</v>
      </c>
      <c r="M204" s="1427">
        <v>0.62939999999999996</v>
      </c>
    </row>
    <row r="205" spans="1:13" ht="14.25">
      <c r="A205" s="1415" t="s">
        <v>1691</v>
      </c>
      <c r="B205" s="1416"/>
      <c r="C205" s="1416"/>
      <c r="D205" s="1416"/>
      <c r="E205" s="1416"/>
      <c r="F205" s="1416"/>
      <c r="G205" s="1416"/>
      <c r="H205" s="1416"/>
      <c r="I205" s="1416"/>
      <c r="J205" s="1416"/>
      <c r="K205" s="1416"/>
      <c r="L205" s="1416"/>
      <c r="M205" s="1416"/>
    </row>
    <row r="206" spans="1:13">
      <c r="A206" s="1418" t="s">
        <v>1688</v>
      </c>
      <c r="B206" s="1419" t="s">
        <v>1091</v>
      </c>
      <c r="C206" s="1419" t="s">
        <v>1092</v>
      </c>
      <c r="D206" s="1419" t="s">
        <v>1093</v>
      </c>
      <c r="E206" s="1419" t="s">
        <v>1094</v>
      </c>
      <c r="F206" s="1419" t="s">
        <v>1095</v>
      </c>
      <c r="G206" s="1419" t="s">
        <v>1096</v>
      </c>
      <c r="H206" s="1420" t="s">
        <v>1097</v>
      </c>
      <c r="I206" s="1420" t="s">
        <v>1098</v>
      </c>
      <c r="J206" s="1421" t="s">
        <v>1099</v>
      </c>
      <c r="K206" s="1421" t="s">
        <v>1100</v>
      </c>
      <c r="L206" s="1421" t="s">
        <v>1101</v>
      </c>
      <c r="M206" s="1421" t="s">
        <v>1102</v>
      </c>
    </row>
    <row r="207" spans="1:13">
      <c r="A207" s="1418">
        <v>0.1</v>
      </c>
      <c r="B207" s="1427">
        <v>12.172000000000001</v>
      </c>
      <c r="C207" s="1427">
        <v>12.172000000000001</v>
      </c>
      <c r="D207" s="1427">
        <v>12.375999999999999</v>
      </c>
      <c r="E207" s="1427">
        <v>12.375999999999999</v>
      </c>
      <c r="F207" s="1427">
        <v>12.375999999999999</v>
      </c>
      <c r="G207" s="1427">
        <v>12.375999999999999</v>
      </c>
      <c r="H207" s="1427">
        <v>12.375999999999999</v>
      </c>
      <c r="I207" s="1427">
        <v>11.071999999999999</v>
      </c>
      <c r="J207" s="1427">
        <v>11.071999999999999</v>
      </c>
      <c r="K207" s="1427">
        <v>11.071999999999999</v>
      </c>
      <c r="L207" s="1427">
        <v>11.071999999999999</v>
      </c>
      <c r="M207" s="1427">
        <v>11.071999999999999</v>
      </c>
    </row>
    <row r="208" spans="1:13">
      <c r="A208" s="1418">
        <v>0.2</v>
      </c>
      <c r="B208" s="1427">
        <v>6.0860000000000003</v>
      </c>
      <c r="C208" s="1427">
        <v>6.0860000000000003</v>
      </c>
      <c r="D208" s="1427">
        <v>6.1879999999999997</v>
      </c>
      <c r="E208" s="1427">
        <v>6.1879999999999997</v>
      </c>
      <c r="F208" s="1427">
        <v>6.1879999999999997</v>
      </c>
      <c r="G208" s="1427">
        <v>6.1879999999999997</v>
      </c>
      <c r="H208" s="1427">
        <v>6.1879999999999997</v>
      </c>
      <c r="I208" s="1427">
        <v>5.5359999999999996</v>
      </c>
      <c r="J208" s="1427">
        <v>5.5359999999999996</v>
      </c>
      <c r="K208" s="1427">
        <v>5.5359999999999996</v>
      </c>
      <c r="L208" s="1427">
        <v>5.5359999999999996</v>
      </c>
      <c r="M208" s="1427">
        <v>5.5359999999999996</v>
      </c>
    </row>
    <row r="209" spans="1:13">
      <c r="A209" s="1418">
        <v>0.3</v>
      </c>
      <c r="B209" s="1427">
        <v>4.0572999999999997</v>
      </c>
      <c r="C209" s="1427">
        <v>4.0572999999999997</v>
      </c>
      <c r="D209" s="1427">
        <v>4.1253000000000002</v>
      </c>
      <c r="E209" s="1427">
        <v>4.1253000000000002</v>
      </c>
      <c r="F209" s="1427">
        <v>4.1253000000000002</v>
      </c>
      <c r="G209" s="1427">
        <v>4.1253000000000002</v>
      </c>
      <c r="H209" s="1427">
        <v>4.1253000000000002</v>
      </c>
      <c r="I209" s="1427">
        <v>3.6907000000000001</v>
      </c>
      <c r="J209" s="1427">
        <v>3.6907000000000001</v>
      </c>
      <c r="K209" s="1427">
        <v>3.6907000000000001</v>
      </c>
      <c r="L209" s="1427">
        <v>3.6907000000000001</v>
      </c>
      <c r="M209" s="1427">
        <v>3.6907000000000001</v>
      </c>
    </row>
    <row r="210" spans="1:13">
      <c r="A210" s="1418">
        <v>0.4</v>
      </c>
      <c r="B210" s="1427">
        <v>3.0430000000000001</v>
      </c>
      <c r="C210" s="1427">
        <v>3.0430000000000001</v>
      </c>
      <c r="D210" s="1427">
        <v>3.0939999999999999</v>
      </c>
      <c r="E210" s="1427">
        <v>3.0939999999999999</v>
      </c>
      <c r="F210" s="1427">
        <v>3.0939999999999999</v>
      </c>
      <c r="G210" s="1427">
        <v>3.0939999999999999</v>
      </c>
      <c r="H210" s="1427">
        <v>3.0939999999999999</v>
      </c>
      <c r="I210" s="1427">
        <v>2.7679999999999998</v>
      </c>
      <c r="J210" s="1427">
        <v>2.7679999999999998</v>
      </c>
      <c r="K210" s="1427">
        <v>2.7679999999999998</v>
      </c>
      <c r="L210" s="1427">
        <v>2.7679999999999998</v>
      </c>
      <c r="M210" s="1427">
        <v>2.7679999999999998</v>
      </c>
    </row>
    <row r="211" spans="1:13">
      <c r="A211" s="1418">
        <v>0.5</v>
      </c>
      <c r="B211" s="1427">
        <v>2.4344000000000001</v>
      </c>
      <c r="C211" s="1427">
        <v>2.4344000000000001</v>
      </c>
      <c r="D211" s="1427">
        <v>2.4752000000000001</v>
      </c>
      <c r="E211" s="1427">
        <v>2.4752000000000001</v>
      </c>
      <c r="F211" s="1427">
        <v>2.4752000000000001</v>
      </c>
      <c r="G211" s="1427">
        <v>2.4752000000000001</v>
      </c>
      <c r="H211" s="1427">
        <v>2.4752000000000001</v>
      </c>
      <c r="I211" s="1427">
        <v>2.2143999999999999</v>
      </c>
      <c r="J211" s="1427">
        <v>2.2143999999999999</v>
      </c>
      <c r="K211" s="1427">
        <v>2.2143999999999999</v>
      </c>
      <c r="L211" s="1427">
        <v>2.2143999999999999</v>
      </c>
      <c r="M211" s="1427">
        <v>2.2143999999999999</v>
      </c>
    </row>
    <row r="212" spans="1:13">
      <c r="A212" s="1418">
        <v>0.6</v>
      </c>
      <c r="B212" s="1427">
        <v>2.0287000000000002</v>
      </c>
      <c r="C212" s="1427">
        <v>2.0287000000000002</v>
      </c>
      <c r="D212" s="1427">
        <v>2.0627</v>
      </c>
      <c r="E212" s="1427">
        <v>2.0627</v>
      </c>
      <c r="F212" s="1427">
        <v>2.0627</v>
      </c>
      <c r="G212" s="1427">
        <v>2.0627</v>
      </c>
      <c r="H212" s="1427">
        <v>2.0627</v>
      </c>
      <c r="I212" s="1427">
        <v>1.8452999999999999</v>
      </c>
      <c r="J212" s="1427">
        <v>1.8452999999999999</v>
      </c>
      <c r="K212" s="1427">
        <v>1.8452999999999999</v>
      </c>
      <c r="L212" s="1427">
        <v>1.8452999999999999</v>
      </c>
      <c r="M212" s="1427">
        <v>1.8452999999999999</v>
      </c>
    </row>
    <row r="213" spans="1:13">
      <c r="A213" s="1418">
        <v>0.7</v>
      </c>
      <c r="B213" s="1427">
        <v>1.7388999999999999</v>
      </c>
      <c r="C213" s="1427">
        <v>1.7388999999999999</v>
      </c>
      <c r="D213" s="1427">
        <v>1.768</v>
      </c>
      <c r="E213" s="1427">
        <v>1.768</v>
      </c>
      <c r="F213" s="1427">
        <v>1.768</v>
      </c>
      <c r="G213" s="1427">
        <v>1.768</v>
      </c>
      <c r="H213" s="1427">
        <v>1.768</v>
      </c>
      <c r="I213" s="1427">
        <v>1.5817000000000001</v>
      </c>
      <c r="J213" s="1427">
        <v>1.5817000000000001</v>
      </c>
      <c r="K213" s="1427">
        <v>1.5817000000000001</v>
      </c>
      <c r="L213" s="1427">
        <v>1.5817000000000001</v>
      </c>
      <c r="M213" s="1427">
        <v>1.5817000000000001</v>
      </c>
    </row>
    <row r="214" spans="1:13">
      <c r="A214" s="1418">
        <v>0.8</v>
      </c>
      <c r="B214" s="1427">
        <v>1.5215000000000001</v>
      </c>
      <c r="C214" s="1427">
        <v>1.5215000000000001</v>
      </c>
      <c r="D214" s="1427">
        <v>1.5469999999999999</v>
      </c>
      <c r="E214" s="1427">
        <v>1.5469999999999999</v>
      </c>
      <c r="F214" s="1427">
        <v>1.5469999999999999</v>
      </c>
      <c r="G214" s="1427">
        <v>1.5469999999999999</v>
      </c>
      <c r="H214" s="1427">
        <v>1.5469999999999999</v>
      </c>
      <c r="I214" s="1427">
        <v>1.3839999999999999</v>
      </c>
      <c r="J214" s="1427">
        <v>1.3839999999999999</v>
      </c>
      <c r="K214" s="1427">
        <v>1.3839999999999999</v>
      </c>
      <c r="L214" s="1427">
        <v>1.3839999999999999</v>
      </c>
      <c r="M214" s="1427">
        <v>1.3839999999999999</v>
      </c>
    </row>
    <row r="215" spans="1:13">
      <c r="A215" s="1418">
        <v>0.9</v>
      </c>
      <c r="B215" s="1427">
        <v>1.3524</v>
      </c>
      <c r="C215" s="1427">
        <v>1.3524</v>
      </c>
      <c r="D215" s="1427">
        <v>1.3751</v>
      </c>
      <c r="E215" s="1427">
        <v>1.3751</v>
      </c>
      <c r="F215" s="1427">
        <v>1.3751</v>
      </c>
      <c r="G215" s="1427">
        <v>1.3751</v>
      </c>
      <c r="H215" s="1427">
        <v>1.3751</v>
      </c>
      <c r="I215" s="1427">
        <v>1.2302</v>
      </c>
      <c r="J215" s="1427">
        <v>1.2302</v>
      </c>
      <c r="K215" s="1427">
        <v>1.2302</v>
      </c>
      <c r="L215" s="1427">
        <v>1.2302</v>
      </c>
      <c r="M215" s="1427">
        <v>1.2302</v>
      </c>
    </row>
    <row r="216" spans="1:13">
      <c r="A216" s="1418">
        <v>1</v>
      </c>
      <c r="B216" s="1427">
        <v>1.2172000000000001</v>
      </c>
      <c r="C216" s="1427">
        <v>1.2172000000000001</v>
      </c>
      <c r="D216" s="1427">
        <v>1.2376</v>
      </c>
      <c r="E216" s="1427">
        <v>1.2376</v>
      </c>
      <c r="F216" s="1427">
        <v>1.2376</v>
      </c>
      <c r="G216" s="1427">
        <v>1.2376</v>
      </c>
      <c r="H216" s="1427">
        <v>1.2376</v>
      </c>
      <c r="I216" s="1427">
        <v>1.1072</v>
      </c>
      <c r="J216" s="1427">
        <v>1.1072</v>
      </c>
      <c r="K216" s="1427">
        <v>1.1072</v>
      </c>
      <c r="L216" s="1427">
        <v>1.1072</v>
      </c>
      <c r="M216" s="1427">
        <v>1.1072</v>
      </c>
    </row>
    <row r="217" spans="1:13">
      <c r="A217" s="1418">
        <v>1.1000000000000001</v>
      </c>
      <c r="B217" s="1427">
        <v>1.198</v>
      </c>
      <c r="C217" s="1427">
        <v>1.198</v>
      </c>
      <c r="D217" s="1427">
        <v>1.2156</v>
      </c>
      <c r="E217" s="1427">
        <v>1.2156</v>
      </c>
      <c r="F217" s="1427">
        <v>1.2156</v>
      </c>
      <c r="G217" s="1427">
        <v>1.2156</v>
      </c>
      <c r="H217" s="1427">
        <v>1.2156</v>
      </c>
      <c r="I217" s="1427">
        <v>1.0829</v>
      </c>
      <c r="J217" s="1427">
        <v>1.0829</v>
      </c>
      <c r="K217" s="1427">
        <v>1.0829</v>
      </c>
      <c r="L217" s="1427">
        <v>1.0829</v>
      </c>
      <c r="M217" s="1427">
        <v>1.0829</v>
      </c>
    </row>
    <row r="218" spans="1:13">
      <c r="A218" s="1418">
        <v>1.2</v>
      </c>
      <c r="B218" s="1427">
        <v>1.1795</v>
      </c>
      <c r="C218" s="1427">
        <v>1.1795</v>
      </c>
      <c r="D218" s="1427">
        <v>1.1947000000000001</v>
      </c>
      <c r="E218" s="1427">
        <v>1.1947000000000001</v>
      </c>
      <c r="F218" s="1427">
        <v>1.1947000000000001</v>
      </c>
      <c r="G218" s="1427">
        <v>1.1947000000000001</v>
      </c>
      <c r="H218" s="1427">
        <v>1.1947000000000001</v>
      </c>
      <c r="I218" s="1427">
        <v>1.0601</v>
      </c>
      <c r="J218" s="1427">
        <v>1.0601</v>
      </c>
      <c r="K218" s="1427">
        <v>1.0601</v>
      </c>
      <c r="L218" s="1427">
        <v>1.0601</v>
      </c>
      <c r="M218" s="1427">
        <v>1.0601</v>
      </c>
    </row>
    <row r="219" spans="1:13">
      <c r="A219" s="1418">
        <v>1.3</v>
      </c>
      <c r="B219" s="1427">
        <v>1.1617999999999999</v>
      </c>
      <c r="C219" s="1427">
        <v>1.1617999999999999</v>
      </c>
      <c r="D219" s="1427">
        <v>1.1748000000000001</v>
      </c>
      <c r="E219" s="1427">
        <v>1.1748000000000001</v>
      </c>
      <c r="F219" s="1427">
        <v>1.1748000000000001</v>
      </c>
      <c r="G219" s="1427">
        <v>1.1748000000000001</v>
      </c>
      <c r="H219" s="1427">
        <v>1.1748000000000001</v>
      </c>
      <c r="I219" s="1427">
        <v>1.0387999999999999</v>
      </c>
      <c r="J219" s="1427">
        <v>1.0387999999999999</v>
      </c>
      <c r="K219" s="1427">
        <v>1.0387999999999999</v>
      </c>
      <c r="L219" s="1427">
        <v>1.0387999999999999</v>
      </c>
      <c r="M219" s="1427">
        <v>1.0387999999999999</v>
      </c>
    </row>
    <row r="220" spans="1:13">
      <c r="A220" s="1418">
        <v>1.4</v>
      </c>
      <c r="B220" s="1427">
        <v>1.1448</v>
      </c>
      <c r="C220" s="1427">
        <v>1.1448</v>
      </c>
      <c r="D220" s="1427">
        <v>1.1557999999999999</v>
      </c>
      <c r="E220" s="1427">
        <v>1.1557999999999999</v>
      </c>
      <c r="F220" s="1427">
        <v>1.1557999999999999</v>
      </c>
      <c r="G220" s="1427">
        <v>1.1557999999999999</v>
      </c>
      <c r="H220" s="1427">
        <v>1.1557999999999999</v>
      </c>
      <c r="I220" s="1427">
        <v>1.0187999999999999</v>
      </c>
      <c r="J220" s="1427">
        <v>1.0187999999999999</v>
      </c>
      <c r="K220" s="1427">
        <v>1.0187999999999999</v>
      </c>
      <c r="L220" s="1427">
        <v>1.0187999999999999</v>
      </c>
      <c r="M220" s="1427">
        <v>1.0187999999999999</v>
      </c>
    </row>
    <row r="221" spans="1:13">
      <c r="A221" s="1418">
        <v>1.5</v>
      </c>
      <c r="B221" s="1427">
        <v>1.1285000000000001</v>
      </c>
      <c r="C221" s="1427">
        <v>1.1285000000000001</v>
      </c>
      <c r="D221" s="1427">
        <v>1.1377999999999999</v>
      </c>
      <c r="E221" s="1427">
        <v>1.1377999999999999</v>
      </c>
      <c r="F221" s="1427">
        <v>1.1377999999999999</v>
      </c>
      <c r="G221" s="1427">
        <v>1.1377999999999999</v>
      </c>
      <c r="H221" s="1427">
        <v>1.1377999999999999</v>
      </c>
      <c r="I221" s="1427">
        <v>1</v>
      </c>
      <c r="J221" s="1427">
        <v>1</v>
      </c>
      <c r="K221" s="1427">
        <v>1</v>
      </c>
      <c r="L221" s="1427">
        <v>1</v>
      </c>
      <c r="M221" s="1427">
        <v>1</v>
      </c>
    </row>
    <row r="222" spans="1:13">
      <c r="A222" s="1418">
        <v>1.6</v>
      </c>
      <c r="B222" s="1427">
        <v>1.1129</v>
      </c>
      <c r="C222" s="1427">
        <v>1.1129</v>
      </c>
      <c r="D222" s="1427">
        <v>1.1206</v>
      </c>
      <c r="E222" s="1427">
        <v>1.1206</v>
      </c>
      <c r="F222" s="1427">
        <v>1.1206</v>
      </c>
      <c r="G222" s="1427">
        <v>1.1206</v>
      </c>
      <c r="H222" s="1427">
        <v>1.1206</v>
      </c>
      <c r="I222" s="1427">
        <v>0.98240000000000005</v>
      </c>
      <c r="J222" s="1427">
        <v>0.98240000000000005</v>
      </c>
      <c r="K222" s="1427">
        <v>0.98240000000000005</v>
      </c>
      <c r="L222" s="1427">
        <v>0.98240000000000005</v>
      </c>
      <c r="M222" s="1427">
        <v>0.98240000000000005</v>
      </c>
    </row>
    <row r="223" spans="1:13">
      <c r="A223" s="1418">
        <v>1.7</v>
      </c>
      <c r="B223" s="1427">
        <v>1.0980000000000001</v>
      </c>
      <c r="C223" s="1427">
        <v>1.0980000000000001</v>
      </c>
      <c r="D223" s="1427">
        <v>1.1043000000000001</v>
      </c>
      <c r="E223" s="1427">
        <v>1.1043000000000001</v>
      </c>
      <c r="F223" s="1427">
        <v>1.1043000000000001</v>
      </c>
      <c r="G223" s="1427">
        <v>1.1043000000000001</v>
      </c>
      <c r="H223" s="1427">
        <v>1.1043000000000001</v>
      </c>
      <c r="I223" s="1427">
        <v>0.96579999999999999</v>
      </c>
      <c r="J223" s="1427">
        <v>0.96579999999999999</v>
      </c>
      <c r="K223" s="1427">
        <v>0.96579999999999999</v>
      </c>
      <c r="L223" s="1427">
        <v>0.96579999999999999</v>
      </c>
      <c r="M223" s="1427">
        <v>0.96579999999999999</v>
      </c>
    </row>
    <row r="224" spans="1:13">
      <c r="A224" s="1418">
        <v>1.8</v>
      </c>
      <c r="B224" s="1427">
        <v>1.0835999999999999</v>
      </c>
      <c r="C224" s="1427">
        <v>1.0835999999999999</v>
      </c>
      <c r="D224" s="1427">
        <v>1.0888</v>
      </c>
      <c r="E224" s="1427">
        <v>1.0888</v>
      </c>
      <c r="F224" s="1427">
        <v>1.0888</v>
      </c>
      <c r="G224" s="1427">
        <v>1.0888</v>
      </c>
      <c r="H224" s="1427">
        <v>1.0888</v>
      </c>
      <c r="I224" s="1427">
        <v>0.95030000000000003</v>
      </c>
      <c r="J224" s="1427">
        <v>0.95030000000000003</v>
      </c>
      <c r="K224" s="1427">
        <v>0.95030000000000003</v>
      </c>
      <c r="L224" s="1427">
        <v>0.95030000000000003</v>
      </c>
      <c r="M224" s="1427">
        <v>0.95030000000000003</v>
      </c>
    </row>
    <row r="225" spans="1:13">
      <c r="A225" s="1418">
        <v>1.9</v>
      </c>
      <c r="B225" s="1427">
        <v>1.0698000000000001</v>
      </c>
      <c r="C225" s="1427">
        <v>1.0698000000000001</v>
      </c>
      <c r="D225" s="1427">
        <v>1.0741000000000001</v>
      </c>
      <c r="E225" s="1427">
        <v>1.0741000000000001</v>
      </c>
      <c r="F225" s="1427">
        <v>1.0741000000000001</v>
      </c>
      <c r="G225" s="1427">
        <v>1.0741000000000001</v>
      </c>
      <c r="H225" s="1427">
        <v>1.0741000000000001</v>
      </c>
      <c r="I225" s="1427">
        <v>0.93610000000000004</v>
      </c>
      <c r="J225" s="1427">
        <v>0.93610000000000004</v>
      </c>
      <c r="K225" s="1427">
        <v>0.93610000000000004</v>
      </c>
      <c r="L225" s="1427">
        <v>0.93610000000000004</v>
      </c>
      <c r="M225" s="1427">
        <v>0.93610000000000004</v>
      </c>
    </row>
    <row r="226" spans="1:13">
      <c r="A226" s="1418">
        <v>2</v>
      </c>
      <c r="B226" s="1427">
        <v>1.0568</v>
      </c>
      <c r="C226" s="1427">
        <v>1.0568</v>
      </c>
      <c r="D226" s="1427">
        <v>1.0601</v>
      </c>
      <c r="E226" s="1427">
        <v>1.0601</v>
      </c>
      <c r="F226" s="1427">
        <v>1.0601</v>
      </c>
      <c r="G226" s="1427">
        <v>1.0601</v>
      </c>
      <c r="H226" s="1427">
        <v>1.0601</v>
      </c>
      <c r="I226" s="1427">
        <v>0.9224</v>
      </c>
      <c r="J226" s="1427">
        <v>0.9224</v>
      </c>
      <c r="K226" s="1427">
        <v>0.9224</v>
      </c>
      <c r="L226" s="1427">
        <v>0.9224</v>
      </c>
      <c r="M226" s="1427">
        <v>0.9224</v>
      </c>
    </row>
    <row r="227" spans="1:13">
      <c r="A227" s="1441">
        <v>2.1</v>
      </c>
      <c r="B227" s="1427">
        <v>1.0443</v>
      </c>
      <c r="C227" s="1427">
        <v>1.0443</v>
      </c>
      <c r="D227" s="1427">
        <v>1.0468</v>
      </c>
      <c r="E227" s="1427">
        <v>1.0468</v>
      </c>
      <c r="F227" s="1427">
        <v>1.0468</v>
      </c>
      <c r="G227" s="1427">
        <v>1.0468</v>
      </c>
      <c r="H227" s="1427">
        <v>1.0468</v>
      </c>
      <c r="I227" s="1427">
        <v>0.90959999999999996</v>
      </c>
      <c r="J227" s="1427">
        <v>0.90959999999999996</v>
      </c>
      <c r="K227" s="1427">
        <v>0.90959999999999996</v>
      </c>
      <c r="L227" s="1427">
        <v>0.90959999999999996</v>
      </c>
      <c r="M227" s="1427">
        <v>0.90959999999999996</v>
      </c>
    </row>
    <row r="228" spans="1:13">
      <c r="A228" s="1441">
        <v>2.2000000000000002</v>
      </c>
      <c r="B228" s="1427">
        <v>1.0325</v>
      </c>
      <c r="C228" s="1427">
        <v>1.0325</v>
      </c>
      <c r="D228" s="1427">
        <v>1.0342</v>
      </c>
      <c r="E228" s="1427">
        <v>1.0342</v>
      </c>
      <c r="F228" s="1427">
        <v>1.0342</v>
      </c>
      <c r="G228" s="1427">
        <v>1.0342</v>
      </c>
      <c r="H228" s="1427">
        <v>1.0342</v>
      </c>
      <c r="I228" s="1427">
        <v>0.89749999999999996</v>
      </c>
      <c r="J228" s="1427">
        <v>0.89749999999999996</v>
      </c>
      <c r="K228" s="1427">
        <v>0.89749999999999996</v>
      </c>
      <c r="L228" s="1427">
        <v>0.89749999999999996</v>
      </c>
      <c r="M228" s="1427">
        <v>0.89749999999999996</v>
      </c>
    </row>
    <row r="229" spans="1:13">
      <c r="A229" s="1441">
        <v>2.2999999999999998</v>
      </c>
      <c r="B229" s="1427">
        <v>1.0209999999999999</v>
      </c>
      <c r="C229" s="1427">
        <v>1.0209999999999999</v>
      </c>
      <c r="D229" s="1427">
        <v>1.0222</v>
      </c>
      <c r="E229" s="1427">
        <v>1.0222</v>
      </c>
      <c r="F229" s="1427">
        <v>1.0222</v>
      </c>
      <c r="G229" s="1427">
        <v>1.0222</v>
      </c>
      <c r="H229" s="1427">
        <v>1.0222</v>
      </c>
      <c r="I229" s="1427">
        <v>0.88619999999999999</v>
      </c>
      <c r="J229" s="1427">
        <v>0.88619999999999999</v>
      </c>
      <c r="K229" s="1427">
        <v>0.88619999999999999</v>
      </c>
      <c r="L229" s="1427">
        <v>0.88619999999999999</v>
      </c>
      <c r="M229" s="1427">
        <v>0.88619999999999999</v>
      </c>
    </row>
    <row r="230" spans="1:13">
      <c r="A230" s="1441">
        <v>2.4</v>
      </c>
      <c r="B230" s="1427">
        <v>1.0102</v>
      </c>
      <c r="C230" s="1427">
        <v>1.0102</v>
      </c>
      <c r="D230" s="1427">
        <v>1.0107999999999999</v>
      </c>
      <c r="E230" s="1427">
        <v>1.0107999999999999</v>
      </c>
      <c r="F230" s="1427">
        <v>1.0107999999999999</v>
      </c>
      <c r="G230" s="1427">
        <v>1.0107999999999999</v>
      </c>
      <c r="H230" s="1427">
        <v>1.0107999999999999</v>
      </c>
      <c r="I230" s="1427">
        <v>0.87529999999999997</v>
      </c>
      <c r="J230" s="1427">
        <v>0.87529999999999997</v>
      </c>
      <c r="K230" s="1427">
        <v>0.87529999999999997</v>
      </c>
      <c r="L230" s="1427">
        <v>0.87529999999999997</v>
      </c>
      <c r="M230" s="1427">
        <v>0.87529999999999997</v>
      </c>
    </row>
    <row r="231" spans="1:13">
      <c r="A231" s="1441">
        <v>2.5</v>
      </c>
      <c r="B231" s="1427">
        <v>1</v>
      </c>
      <c r="C231" s="1427">
        <v>1</v>
      </c>
      <c r="D231" s="1427">
        <v>1</v>
      </c>
      <c r="E231" s="1427">
        <v>1</v>
      </c>
      <c r="F231" s="1427">
        <v>1</v>
      </c>
      <c r="G231" s="1427">
        <v>1</v>
      </c>
      <c r="H231" s="1427">
        <v>1</v>
      </c>
      <c r="I231" s="1427">
        <v>0.86509999999999998</v>
      </c>
      <c r="J231" s="1427">
        <v>0.86509999999999998</v>
      </c>
      <c r="K231" s="1427">
        <v>0.86509999999999998</v>
      </c>
      <c r="L231" s="1427">
        <v>0.86509999999999998</v>
      </c>
      <c r="M231" s="1427">
        <v>0.86509999999999998</v>
      </c>
    </row>
    <row r="232" spans="1:13">
      <c r="A232" s="1441">
        <v>2.6</v>
      </c>
      <c r="B232" s="1427">
        <v>0.99029999999999996</v>
      </c>
      <c r="C232" s="1427">
        <v>0.99029999999999996</v>
      </c>
      <c r="D232" s="1427">
        <v>0.98970000000000002</v>
      </c>
      <c r="E232" s="1427">
        <v>0.98970000000000002</v>
      </c>
      <c r="F232" s="1427">
        <v>0.98970000000000002</v>
      </c>
      <c r="G232" s="1427">
        <v>0.98970000000000002</v>
      </c>
      <c r="H232" s="1427">
        <v>0.98970000000000002</v>
      </c>
      <c r="I232" s="1427">
        <v>0.85529999999999995</v>
      </c>
      <c r="J232" s="1427">
        <v>0.85529999999999995</v>
      </c>
      <c r="K232" s="1427">
        <v>0.85529999999999995</v>
      </c>
      <c r="L232" s="1427">
        <v>0.85529999999999995</v>
      </c>
      <c r="M232" s="1427">
        <v>0.85529999999999995</v>
      </c>
    </row>
    <row r="233" spans="1:13">
      <c r="A233" s="1441">
        <v>2.7</v>
      </c>
      <c r="B233" s="1427">
        <v>0.98109999999999997</v>
      </c>
      <c r="C233" s="1427">
        <v>0.98109999999999997</v>
      </c>
      <c r="D233" s="1427">
        <v>0.97989999999999999</v>
      </c>
      <c r="E233" s="1427">
        <v>0.97989999999999999</v>
      </c>
      <c r="F233" s="1427">
        <v>0.97989999999999999</v>
      </c>
      <c r="G233" s="1427">
        <v>0.97989999999999999</v>
      </c>
      <c r="H233" s="1427">
        <v>0.97989999999999999</v>
      </c>
      <c r="I233" s="1427">
        <v>0.84599999999999997</v>
      </c>
      <c r="J233" s="1427">
        <v>0.84599999999999997</v>
      </c>
      <c r="K233" s="1427">
        <v>0.84599999999999997</v>
      </c>
      <c r="L233" s="1427">
        <v>0.84599999999999997</v>
      </c>
      <c r="M233" s="1427">
        <v>0.84599999999999997</v>
      </c>
    </row>
    <row r="234" spans="1:13">
      <c r="A234" s="1441">
        <v>2.8</v>
      </c>
      <c r="B234" s="1427">
        <v>0.97240000000000004</v>
      </c>
      <c r="C234" s="1427">
        <v>0.97240000000000004</v>
      </c>
      <c r="D234" s="1427">
        <v>0.97060000000000002</v>
      </c>
      <c r="E234" s="1427">
        <v>0.97060000000000002</v>
      </c>
      <c r="F234" s="1427">
        <v>0.97060000000000002</v>
      </c>
      <c r="G234" s="1427">
        <v>0.97060000000000002</v>
      </c>
      <c r="H234" s="1427">
        <v>0.97060000000000002</v>
      </c>
      <c r="I234" s="1427">
        <v>0.83709999999999996</v>
      </c>
      <c r="J234" s="1427">
        <v>0.83709999999999996</v>
      </c>
      <c r="K234" s="1427">
        <v>0.83709999999999996</v>
      </c>
      <c r="L234" s="1427">
        <v>0.83709999999999996</v>
      </c>
      <c r="M234" s="1427">
        <v>0.83709999999999996</v>
      </c>
    </row>
    <row r="235" spans="1:13">
      <c r="A235" s="1441">
        <v>2.9</v>
      </c>
      <c r="B235" s="1427">
        <v>0.96419999999999995</v>
      </c>
      <c r="C235" s="1427">
        <v>0.96419999999999995</v>
      </c>
      <c r="D235" s="1427">
        <v>0.96179999999999999</v>
      </c>
      <c r="E235" s="1427">
        <v>0.96179999999999999</v>
      </c>
      <c r="F235" s="1427">
        <v>0.96179999999999999</v>
      </c>
      <c r="G235" s="1427">
        <v>0.96179999999999999</v>
      </c>
      <c r="H235" s="1427">
        <v>0.96179999999999999</v>
      </c>
      <c r="I235" s="1427">
        <v>0.82850000000000001</v>
      </c>
      <c r="J235" s="1427">
        <v>0.82850000000000001</v>
      </c>
      <c r="K235" s="1427">
        <v>0.82850000000000001</v>
      </c>
      <c r="L235" s="1427">
        <v>0.82850000000000001</v>
      </c>
      <c r="M235" s="1427">
        <v>0.82850000000000001</v>
      </c>
    </row>
    <row r="236" spans="1:13">
      <c r="A236" s="1441">
        <v>3</v>
      </c>
      <c r="B236" s="1427">
        <v>0.95640000000000003</v>
      </c>
      <c r="C236" s="1427">
        <v>0.95640000000000003</v>
      </c>
      <c r="D236" s="1427">
        <v>0.95340000000000003</v>
      </c>
      <c r="E236" s="1427">
        <v>0.95340000000000003</v>
      </c>
      <c r="F236" s="1427">
        <v>0.95340000000000003</v>
      </c>
      <c r="G236" s="1427">
        <v>0.95340000000000003</v>
      </c>
      <c r="H236" s="1427">
        <v>0.95340000000000003</v>
      </c>
      <c r="I236" s="1427">
        <v>0.82040000000000002</v>
      </c>
      <c r="J236" s="1427">
        <v>0.82040000000000002</v>
      </c>
      <c r="K236" s="1427">
        <v>0.82040000000000002</v>
      </c>
      <c r="L236" s="1427">
        <v>0.82040000000000002</v>
      </c>
      <c r="M236" s="1427">
        <v>0.82040000000000002</v>
      </c>
    </row>
    <row r="237" spans="1:13">
      <c r="A237" s="1441">
        <v>3.1</v>
      </c>
      <c r="B237" s="1427">
        <v>0.94899999999999995</v>
      </c>
      <c r="C237" s="1427">
        <v>0.94899999999999995</v>
      </c>
      <c r="D237" s="1427">
        <v>0.94550000000000001</v>
      </c>
      <c r="E237" s="1427">
        <v>0.94550000000000001</v>
      </c>
      <c r="F237" s="1427">
        <v>0.94550000000000001</v>
      </c>
      <c r="G237" s="1427">
        <v>0.94550000000000001</v>
      </c>
      <c r="H237" s="1427">
        <v>0.94550000000000001</v>
      </c>
      <c r="I237" s="1427">
        <v>0.81259999999999999</v>
      </c>
      <c r="J237" s="1427">
        <v>0.81259999999999999</v>
      </c>
      <c r="K237" s="1427">
        <v>0.81259999999999999</v>
      </c>
      <c r="L237" s="1427">
        <v>0.81259999999999999</v>
      </c>
      <c r="M237" s="1427">
        <v>0.81259999999999999</v>
      </c>
    </row>
    <row r="238" spans="1:13">
      <c r="A238" s="1441">
        <v>3.2</v>
      </c>
      <c r="B238" s="1427">
        <v>0.94199999999999995</v>
      </c>
      <c r="C238" s="1427">
        <v>0.94199999999999995</v>
      </c>
      <c r="D238" s="1427">
        <v>0.93789999999999996</v>
      </c>
      <c r="E238" s="1427">
        <v>0.93789999999999996</v>
      </c>
      <c r="F238" s="1427">
        <v>0.93789999999999996</v>
      </c>
      <c r="G238" s="1427">
        <v>0.93789999999999996</v>
      </c>
      <c r="H238" s="1427">
        <v>0.93789999999999996</v>
      </c>
      <c r="I238" s="1427">
        <v>0.80530000000000002</v>
      </c>
      <c r="J238" s="1427">
        <v>0.80530000000000002</v>
      </c>
      <c r="K238" s="1427">
        <v>0.80530000000000002</v>
      </c>
      <c r="L238" s="1427">
        <v>0.80530000000000002</v>
      </c>
      <c r="M238" s="1427">
        <v>0.80530000000000002</v>
      </c>
    </row>
    <row r="239" spans="1:13">
      <c r="A239" s="1441">
        <v>3.3</v>
      </c>
      <c r="B239" s="1427">
        <v>0.93540000000000001</v>
      </c>
      <c r="C239" s="1427">
        <v>0.93540000000000001</v>
      </c>
      <c r="D239" s="1427">
        <v>0.93069999999999997</v>
      </c>
      <c r="E239" s="1427">
        <v>0.93069999999999997</v>
      </c>
      <c r="F239" s="1427">
        <v>0.93069999999999997</v>
      </c>
      <c r="G239" s="1427">
        <v>0.93069999999999997</v>
      </c>
      <c r="H239" s="1427">
        <v>0.93069999999999997</v>
      </c>
      <c r="I239" s="1427">
        <v>0.79820000000000002</v>
      </c>
      <c r="J239" s="1427">
        <v>0.79820000000000002</v>
      </c>
      <c r="K239" s="1427">
        <v>0.79820000000000002</v>
      </c>
      <c r="L239" s="1427">
        <v>0.79820000000000002</v>
      </c>
      <c r="M239" s="1427">
        <v>0.79820000000000002</v>
      </c>
    </row>
    <row r="240" spans="1:13">
      <c r="A240" s="1441">
        <v>3.4</v>
      </c>
      <c r="B240" s="1427">
        <v>0.92920000000000003</v>
      </c>
      <c r="C240" s="1427">
        <v>0.92920000000000003</v>
      </c>
      <c r="D240" s="1427">
        <v>0.92390000000000005</v>
      </c>
      <c r="E240" s="1427">
        <v>0.92390000000000005</v>
      </c>
      <c r="F240" s="1427">
        <v>0.92390000000000005</v>
      </c>
      <c r="G240" s="1427">
        <v>0.92390000000000005</v>
      </c>
      <c r="H240" s="1427">
        <v>0.92390000000000005</v>
      </c>
      <c r="I240" s="1427">
        <v>0.79139999999999999</v>
      </c>
      <c r="J240" s="1427">
        <v>0.79139999999999999</v>
      </c>
      <c r="K240" s="1427">
        <v>0.79139999999999999</v>
      </c>
      <c r="L240" s="1427">
        <v>0.79139999999999999</v>
      </c>
      <c r="M240" s="1427">
        <v>0.79139999999999999</v>
      </c>
    </row>
    <row r="241" spans="1:13">
      <c r="A241" s="1441">
        <v>3.5</v>
      </c>
      <c r="B241" s="1427">
        <v>0.9234</v>
      </c>
      <c r="C241" s="1427">
        <v>0.9234</v>
      </c>
      <c r="D241" s="1427">
        <v>0.91749999999999998</v>
      </c>
      <c r="E241" s="1427">
        <v>0.91749999999999998</v>
      </c>
      <c r="F241" s="1427">
        <v>0.91749999999999998</v>
      </c>
      <c r="G241" s="1427">
        <v>0.91749999999999998</v>
      </c>
      <c r="H241" s="1427">
        <v>0.91749999999999998</v>
      </c>
      <c r="I241" s="1427">
        <v>0.78490000000000004</v>
      </c>
      <c r="J241" s="1427">
        <v>0.78490000000000004</v>
      </c>
      <c r="K241" s="1427">
        <v>0.78490000000000004</v>
      </c>
      <c r="L241" s="1427">
        <v>0.78490000000000004</v>
      </c>
      <c r="M241" s="1427">
        <v>0.78490000000000004</v>
      </c>
    </row>
    <row r="242" spans="1:13">
      <c r="A242" s="1441">
        <v>3.6</v>
      </c>
      <c r="B242" s="1427">
        <v>0.91790000000000005</v>
      </c>
      <c r="C242" s="1427">
        <v>0.91790000000000005</v>
      </c>
      <c r="D242" s="1427">
        <v>0.91139999999999999</v>
      </c>
      <c r="E242" s="1427">
        <v>0.91139999999999999</v>
      </c>
      <c r="F242" s="1427">
        <v>0.91139999999999999</v>
      </c>
      <c r="G242" s="1427">
        <v>0.91139999999999999</v>
      </c>
      <c r="H242" s="1427">
        <v>0.91139999999999999</v>
      </c>
      <c r="I242" s="1427">
        <v>0.77880000000000005</v>
      </c>
      <c r="J242" s="1427">
        <v>0.77880000000000005</v>
      </c>
      <c r="K242" s="1427">
        <v>0.77880000000000005</v>
      </c>
      <c r="L242" s="1427">
        <v>0.77880000000000005</v>
      </c>
      <c r="M242" s="1427">
        <v>0.77880000000000005</v>
      </c>
    </row>
    <row r="243" spans="1:13">
      <c r="A243" s="1441">
        <v>3.7</v>
      </c>
      <c r="B243" s="1427">
        <v>0.91269999999999996</v>
      </c>
      <c r="C243" s="1427">
        <v>0.91269999999999996</v>
      </c>
      <c r="D243" s="1427">
        <v>0.90559999999999996</v>
      </c>
      <c r="E243" s="1427">
        <v>0.90559999999999996</v>
      </c>
      <c r="F243" s="1427">
        <v>0.90559999999999996</v>
      </c>
      <c r="G243" s="1427">
        <v>0.90559999999999996</v>
      </c>
      <c r="H243" s="1427">
        <v>0.90559999999999996</v>
      </c>
      <c r="I243" s="1427">
        <v>0.77300000000000002</v>
      </c>
      <c r="J243" s="1427">
        <v>0.77300000000000002</v>
      </c>
      <c r="K243" s="1427">
        <v>0.77300000000000002</v>
      </c>
      <c r="L243" s="1427">
        <v>0.77300000000000002</v>
      </c>
      <c r="M243" s="1427">
        <v>0.77300000000000002</v>
      </c>
    </row>
    <row r="244" spans="1:13">
      <c r="A244" s="1441">
        <v>3.8</v>
      </c>
      <c r="B244" s="1427">
        <v>0.90780000000000005</v>
      </c>
      <c r="C244" s="1427">
        <v>0.90780000000000005</v>
      </c>
      <c r="D244" s="1427">
        <v>0.90010000000000001</v>
      </c>
      <c r="E244" s="1427">
        <v>0.90010000000000001</v>
      </c>
      <c r="F244" s="1427">
        <v>0.90010000000000001</v>
      </c>
      <c r="G244" s="1427">
        <v>0.90010000000000001</v>
      </c>
      <c r="H244" s="1427">
        <v>0.90010000000000001</v>
      </c>
      <c r="I244" s="1427">
        <v>0.76739999999999997</v>
      </c>
      <c r="J244" s="1427">
        <v>0.76739999999999997</v>
      </c>
      <c r="K244" s="1427">
        <v>0.76739999999999997</v>
      </c>
      <c r="L244" s="1427">
        <v>0.76739999999999997</v>
      </c>
      <c r="M244" s="1427">
        <v>0.76739999999999997</v>
      </c>
    </row>
    <row r="245" spans="1:13">
      <c r="A245" s="1441">
        <v>3.9</v>
      </c>
      <c r="B245" s="1427">
        <v>0.9032</v>
      </c>
      <c r="C245" s="1427">
        <v>0.9032</v>
      </c>
      <c r="D245" s="1427">
        <v>0.89490000000000003</v>
      </c>
      <c r="E245" s="1427">
        <v>0.89490000000000003</v>
      </c>
      <c r="F245" s="1427">
        <v>0.89490000000000003</v>
      </c>
      <c r="G245" s="1427">
        <v>0.89490000000000003</v>
      </c>
      <c r="H245" s="1427">
        <v>0.89490000000000003</v>
      </c>
      <c r="I245" s="1427">
        <v>0.7621</v>
      </c>
      <c r="J245" s="1427">
        <v>0.7621</v>
      </c>
      <c r="K245" s="1427">
        <v>0.7621</v>
      </c>
      <c r="L245" s="1427">
        <v>0.7621</v>
      </c>
      <c r="M245" s="1427">
        <v>0.7621</v>
      </c>
    </row>
    <row r="246" spans="1:13">
      <c r="A246" s="1441">
        <v>4</v>
      </c>
      <c r="B246" s="1427">
        <v>0.89890000000000003</v>
      </c>
      <c r="C246" s="1427">
        <v>0.89890000000000003</v>
      </c>
      <c r="D246" s="1427">
        <v>0.89</v>
      </c>
      <c r="E246" s="1427">
        <v>0.89</v>
      </c>
      <c r="F246" s="1427">
        <v>0.89</v>
      </c>
      <c r="G246" s="1427">
        <v>0.89</v>
      </c>
      <c r="H246" s="1427">
        <v>0.89</v>
      </c>
      <c r="I246" s="1427">
        <v>0.7571</v>
      </c>
      <c r="J246" s="1427">
        <v>0.7571</v>
      </c>
      <c r="K246" s="1427">
        <v>0.7571</v>
      </c>
      <c r="L246" s="1427">
        <v>0.7571</v>
      </c>
      <c r="M246" s="1427">
        <v>0.7571</v>
      </c>
    </row>
    <row r="247" spans="1:13">
      <c r="A247" s="1441">
        <v>4.0999999999999996</v>
      </c>
      <c r="B247" s="1427">
        <v>0.89480000000000004</v>
      </c>
      <c r="C247" s="1427">
        <v>0.89480000000000004</v>
      </c>
      <c r="D247" s="1427">
        <v>0.88539999999999996</v>
      </c>
      <c r="E247" s="1427">
        <v>0.88539999999999996</v>
      </c>
      <c r="F247" s="1427">
        <v>0.88539999999999996</v>
      </c>
      <c r="G247" s="1427">
        <v>0.88539999999999996</v>
      </c>
      <c r="H247" s="1427">
        <v>0.88539999999999996</v>
      </c>
      <c r="I247" s="1427">
        <v>0.75229999999999997</v>
      </c>
      <c r="J247" s="1427">
        <v>0.75229999999999997</v>
      </c>
      <c r="K247" s="1427">
        <v>0.75229999999999997</v>
      </c>
      <c r="L247" s="1427">
        <v>0.75229999999999997</v>
      </c>
      <c r="M247" s="1427">
        <v>0.75229999999999997</v>
      </c>
    </row>
    <row r="248" spans="1:13">
      <c r="A248" s="1441">
        <v>4.2</v>
      </c>
      <c r="B248" s="1427">
        <v>0.89100000000000001</v>
      </c>
      <c r="C248" s="1427">
        <v>0.89100000000000001</v>
      </c>
      <c r="D248" s="1427">
        <v>0.88109999999999999</v>
      </c>
      <c r="E248" s="1427">
        <v>0.88109999999999999</v>
      </c>
      <c r="F248" s="1427">
        <v>0.88109999999999999</v>
      </c>
      <c r="G248" s="1427">
        <v>0.88109999999999999</v>
      </c>
      <c r="H248" s="1427">
        <v>0.88109999999999999</v>
      </c>
      <c r="I248" s="1427">
        <v>0.74780000000000002</v>
      </c>
      <c r="J248" s="1427">
        <v>0.74780000000000002</v>
      </c>
      <c r="K248" s="1427">
        <v>0.74780000000000002</v>
      </c>
      <c r="L248" s="1427">
        <v>0.74780000000000002</v>
      </c>
      <c r="M248" s="1427">
        <v>0.74780000000000002</v>
      </c>
    </row>
    <row r="249" spans="1:13">
      <c r="A249" s="1441">
        <v>4.3</v>
      </c>
      <c r="B249" s="1427">
        <v>0.88739999999999997</v>
      </c>
      <c r="C249" s="1427">
        <v>0.88739999999999997</v>
      </c>
      <c r="D249" s="1427">
        <v>0.877</v>
      </c>
      <c r="E249" s="1427">
        <v>0.877</v>
      </c>
      <c r="F249" s="1427">
        <v>0.877</v>
      </c>
      <c r="G249" s="1427">
        <v>0.877</v>
      </c>
      <c r="H249" s="1427">
        <v>0.877</v>
      </c>
      <c r="I249" s="1427">
        <v>0.74329999999999996</v>
      </c>
      <c r="J249" s="1427">
        <v>0.74329999999999996</v>
      </c>
      <c r="K249" s="1427">
        <v>0.74329999999999996</v>
      </c>
      <c r="L249" s="1427">
        <v>0.74329999999999996</v>
      </c>
      <c r="M249" s="1427">
        <v>0.74329999999999996</v>
      </c>
    </row>
    <row r="250" spans="1:13">
      <c r="A250" s="1441">
        <v>4.4000000000000004</v>
      </c>
      <c r="B250" s="1427">
        <v>0.88400000000000001</v>
      </c>
      <c r="C250" s="1427">
        <v>0.88400000000000001</v>
      </c>
      <c r="D250" s="1427">
        <v>0.87309999999999999</v>
      </c>
      <c r="E250" s="1427">
        <v>0.87309999999999999</v>
      </c>
      <c r="F250" s="1427">
        <v>0.87309999999999999</v>
      </c>
      <c r="G250" s="1427">
        <v>0.87309999999999999</v>
      </c>
      <c r="H250" s="1427">
        <v>0.87309999999999999</v>
      </c>
      <c r="I250" s="1427">
        <v>0.73909999999999998</v>
      </c>
      <c r="J250" s="1427">
        <v>0.73909999999999998</v>
      </c>
      <c r="K250" s="1427">
        <v>0.73909999999999998</v>
      </c>
      <c r="L250" s="1427">
        <v>0.73909999999999998</v>
      </c>
      <c r="M250" s="1427">
        <v>0.73909999999999998</v>
      </c>
    </row>
    <row r="251" spans="1:13">
      <c r="A251" s="1441">
        <v>4.5</v>
      </c>
      <c r="B251" s="1427">
        <v>0.88080000000000003</v>
      </c>
      <c r="C251" s="1427">
        <v>0.88080000000000003</v>
      </c>
      <c r="D251" s="1427">
        <v>0.86939999999999995</v>
      </c>
      <c r="E251" s="1427">
        <v>0.86939999999999995</v>
      </c>
      <c r="F251" s="1427">
        <v>0.86939999999999995</v>
      </c>
      <c r="G251" s="1427">
        <v>0.86939999999999995</v>
      </c>
      <c r="H251" s="1427">
        <v>0.86939999999999995</v>
      </c>
      <c r="I251" s="1427">
        <v>0.73499999999999999</v>
      </c>
      <c r="J251" s="1427">
        <v>0.73499999999999999</v>
      </c>
      <c r="K251" s="1427">
        <v>0.73499999999999999</v>
      </c>
      <c r="L251" s="1427">
        <v>0.73499999999999999</v>
      </c>
      <c r="M251" s="1427">
        <v>0.73499999999999999</v>
      </c>
    </row>
    <row r="252" spans="1:13">
      <c r="A252" s="1441">
        <v>4.5999999999999996</v>
      </c>
      <c r="B252" s="1427">
        <v>0.87780000000000002</v>
      </c>
      <c r="C252" s="1427">
        <v>0.87780000000000002</v>
      </c>
      <c r="D252" s="1427">
        <v>0.8659</v>
      </c>
      <c r="E252" s="1427">
        <v>0.8659</v>
      </c>
      <c r="F252" s="1427">
        <v>0.8659</v>
      </c>
      <c r="G252" s="1427">
        <v>0.8659</v>
      </c>
      <c r="H252" s="1427">
        <v>0.8659</v>
      </c>
      <c r="I252" s="1427">
        <v>0.73109999999999997</v>
      </c>
      <c r="J252" s="1427">
        <v>0.73109999999999997</v>
      </c>
      <c r="K252" s="1427">
        <v>0.73109999999999997</v>
      </c>
      <c r="L252" s="1427">
        <v>0.73109999999999997</v>
      </c>
      <c r="M252" s="1427">
        <v>0.73109999999999997</v>
      </c>
    </row>
    <row r="253" spans="1:13">
      <c r="A253" s="1441">
        <v>4.7</v>
      </c>
      <c r="B253" s="1427">
        <v>0.875</v>
      </c>
      <c r="C253" s="1427">
        <v>0.875</v>
      </c>
      <c r="D253" s="1427">
        <v>0.86260000000000003</v>
      </c>
      <c r="E253" s="1427">
        <v>0.86260000000000003</v>
      </c>
      <c r="F253" s="1427">
        <v>0.86260000000000003</v>
      </c>
      <c r="G253" s="1427">
        <v>0.86260000000000003</v>
      </c>
      <c r="H253" s="1427">
        <v>0.86260000000000003</v>
      </c>
      <c r="I253" s="1427">
        <v>0.72750000000000004</v>
      </c>
      <c r="J253" s="1427">
        <v>0.72750000000000004</v>
      </c>
      <c r="K253" s="1427">
        <v>0.72750000000000004</v>
      </c>
      <c r="L253" s="1427">
        <v>0.72750000000000004</v>
      </c>
      <c r="M253" s="1427">
        <v>0.72750000000000004</v>
      </c>
    </row>
    <row r="254" spans="1:13">
      <c r="A254" s="1441">
        <v>4.8</v>
      </c>
      <c r="B254" s="1427">
        <v>0.87229999999999996</v>
      </c>
      <c r="C254" s="1427">
        <v>0.87229999999999996</v>
      </c>
      <c r="D254" s="1427">
        <v>0.85950000000000004</v>
      </c>
      <c r="E254" s="1427">
        <v>0.85950000000000004</v>
      </c>
      <c r="F254" s="1427">
        <v>0.85950000000000004</v>
      </c>
      <c r="G254" s="1427">
        <v>0.85950000000000004</v>
      </c>
      <c r="H254" s="1427">
        <v>0.85950000000000004</v>
      </c>
      <c r="I254" s="1427">
        <v>0.72399999999999998</v>
      </c>
      <c r="J254" s="1427">
        <v>0.72399999999999998</v>
      </c>
      <c r="K254" s="1427">
        <v>0.72399999999999998</v>
      </c>
      <c r="L254" s="1427">
        <v>0.72399999999999998</v>
      </c>
      <c r="M254" s="1427">
        <v>0.72399999999999998</v>
      </c>
    </row>
    <row r="255" spans="1:13">
      <c r="A255" s="1441">
        <v>4.9000000000000004</v>
      </c>
      <c r="B255" s="1427">
        <v>0.86980000000000002</v>
      </c>
      <c r="C255" s="1427">
        <v>0.86980000000000002</v>
      </c>
      <c r="D255" s="1427">
        <v>0.85660000000000003</v>
      </c>
      <c r="E255" s="1427">
        <v>0.85660000000000003</v>
      </c>
      <c r="F255" s="1427">
        <v>0.85660000000000003</v>
      </c>
      <c r="G255" s="1427">
        <v>0.85660000000000003</v>
      </c>
      <c r="H255" s="1427">
        <v>0.85660000000000003</v>
      </c>
      <c r="I255" s="1427">
        <v>0.7208</v>
      </c>
      <c r="J255" s="1427">
        <v>0.7208</v>
      </c>
      <c r="K255" s="1427">
        <v>0.7208</v>
      </c>
      <c r="L255" s="1427">
        <v>0.7208</v>
      </c>
      <c r="M255" s="1427">
        <v>0.7208</v>
      </c>
    </row>
    <row r="256" spans="1:13">
      <c r="A256" s="1441">
        <v>5</v>
      </c>
      <c r="B256" s="1427">
        <v>0.86739999999999995</v>
      </c>
      <c r="C256" s="1427">
        <v>0.86739999999999995</v>
      </c>
      <c r="D256" s="1427">
        <v>0.8538</v>
      </c>
      <c r="E256" s="1427">
        <v>0.8538</v>
      </c>
      <c r="F256" s="1427">
        <v>0.8538</v>
      </c>
      <c r="G256" s="1427">
        <v>0.8538</v>
      </c>
      <c r="H256" s="1427">
        <v>0.8538</v>
      </c>
      <c r="I256" s="1427">
        <v>0.71760000000000002</v>
      </c>
      <c r="J256" s="1427">
        <v>0.71760000000000002</v>
      </c>
      <c r="K256" s="1427">
        <v>0.71760000000000002</v>
      </c>
      <c r="L256" s="1427">
        <v>0.71760000000000002</v>
      </c>
      <c r="M256" s="1427">
        <v>0.71760000000000002</v>
      </c>
    </row>
    <row r="257" spans="1:13">
      <c r="A257" s="1418">
        <v>5.0999999999999996</v>
      </c>
      <c r="B257" s="1427">
        <v>0.86519999999999997</v>
      </c>
      <c r="C257" s="1427">
        <v>0.86519999999999997</v>
      </c>
      <c r="D257" s="1427">
        <v>0.85109999999999997</v>
      </c>
      <c r="E257" s="1427">
        <v>0.85109999999999997</v>
      </c>
      <c r="F257" s="1427">
        <v>0.85109999999999997</v>
      </c>
      <c r="G257" s="1427">
        <v>0.85109999999999997</v>
      </c>
      <c r="H257" s="1427">
        <v>0.85109999999999997</v>
      </c>
      <c r="I257" s="1427">
        <v>0.7147</v>
      </c>
      <c r="J257" s="1427">
        <v>0.7147</v>
      </c>
      <c r="K257" s="1427">
        <v>0.7147</v>
      </c>
      <c r="L257" s="1427">
        <v>0.7147</v>
      </c>
      <c r="M257" s="1427">
        <v>0.7147</v>
      </c>
    </row>
    <row r="258" spans="1:13">
      <c r="A258" s="1418">
        <v>5.2</v>
      </c>
      <c r="B258" s="1427">
        <v>0.86309999999999998</v>
      </c>
      <c r="C258" s="1427">
        <v>0.86309999999999998</v>
      </c>
      <c r="D258" s="1427">
        <v>0.84860000000000002</v>
      </c>
      <c r="E258" s="1427">
        <v>0.84860000000000002</v>
      </c>
      <c r="F258" s="1427">
        <v>0.84860000000000002</v>
      </c>
      <c r="G258" s="1427">
        <v>0.84860000000000002</v>
      </c>
      <c r="H258" s="1427">
        <v>0.84860000000000002</v>
      </c>
      <c r="I258" s="1427">
        <v>0.71189999999999998</v>
      </c>
      <c r="J258" s="1427">
        <v>0.71189999999999998</v>
      </c>
      <c r="K258" s="1427">
        <v>0.71189999999999998</v>
      </c>
      <c r="L258" s="1427">
        <v>0.71189999999999998</v>
      </c>
      <c r="M258" s="1427">
        <v>0.71189999999999998</v>
      </c>
    </row>
    <row r="259" spans="1:13">
      <c r="A259" s="1418">
        <v>5.3</v>
      </c>
      <c r="B259" s="1427">
        <v>0.86119999999999997</v>
      </c>
      <c r="C259" s="1427">
        <v>0.86119999999999997</v>
      </c>
      <c r="D259" s="1427">
        <v>0.84619999999999995</v>
      </c>
      <c r="E259" s="1427">
        <v>0.84619999999999995</v>
      </c>
      <c r="F259" s="1427">
        <v>0.84619999999999995</v>
      </c>
      <c r="G259" s="1427">
        <v>0.84619999999999995</v>
      </c>
      <c r="H259" s="1427">
        <v>0.84619999999999995</v>
      </c>
      <c r="I259" s="1427">
        <v>0.70909999999999995</v>
      </c>
      <c r="J259" s="1427">
        <v>0.70909999999999995</v>
      </c>
      <c r="K259" s="1427">
        <v>0.70909999999999995</v>
      </c>
      <c r="L259" s="1427">
        <v>0.70909999999999995</v>
      </c>
      <c r="M259" s="1427">
        <v>0.70909999999999995</v>
      </c>
    </row>
    <row r="260" spans="1:13">
      <c r="A260" s="1418">
        <v>5.4</v>
      </c>
      <c r="B260" s="1427">
        <v>0.85940000000000005</v>
      </c>
      <c r="C260" s="1427">
        <v>0.85940000000000005</v>
      </c>
      <c r="D260" s="1427">
        <v>0.84389999999999998</v>
      </c>
      <c r="E260" s="1427">
        <v>0.84389999999999998</v>
      </c>
      <c r="F260" s="1427">
        <v>0.84389999999999998</v>
      </c>
      <c r="G260" s="1427">
        <v>0.84389999999999998</v>
      </c>
      <c r="H260" s="1427">
        <v>0.84389999999999998</v>
      </c>
      <c r="I260" s="1427">
        <v>0.70650000000000002</v>
      </c>
      <c r="J260" s="1427">
        <v>0.70650000000000002</v>
      </c>
      <c r="K260" s="1427">
        <v>0.70650000000000002</v>
      </c>
      <c r="L260" s="1427">
        <v>0.70650000000000002</v>
      </c>
      <c r="M260" s="1427">
        <v>0.70650000000000002</v>
      </c>
    </row>
    <row r="261" spans="1:13">
      <c r="A261" s="1418">
        <v>5.5</v>
      </c>
      <c r="B261" s="1427">
        <v>0.85770000000000002</v>
      </c>
      <c r="C261" s="1427">
        <v>0.85770000000000002</v>
      </c>
      <c r="D261" s="1427">
        <v>0.84179999999999999</v>
      </c>
      <c r="E261" s="1427">
        <v>0.84179999999999999</v>
      </c>
      <c r="F261" s="1427">
        <v>0.84179999999999999</v>
      </c>
      <c r="G261" s="1427">
        <v>0.84179999999999999</v>
      </c>
      <c r="H261" s="1427">
        <v>0.84179999999999999</v>
      </c>
      <c r="I261" s="1427">
        <v>0.70399999999999996</v>
      </c>
      <c r="J261" s="1427">
        <v>0.70399999999999996</v>
      </c>
      <c r="K261" s="1427">
        <v>0.70399999999999996</v>
      </c>
      <c r="L261" s="1427">
        <v>0.70399999999999996</v>
      </c>
      <c r="M261" s="1427">
        <v>0.70399999999999996</v>
      </c>
    </row>
    <row r="262" spans="1:13">
      <c r="A262" s="1418">
        <v>5.6</v>
      </c>
      <c r="B262" s="1427">
        <v>0.85599999999999998</v>
      </c>
      <c r="C262" s="1427">
        <v>0.85599999999999998</v>
      </c>
      <c r="D262" s="1427">
        <v>0.83979999999999999</v>
      </c>
      <c r="E262" s="1427">
        <v>0.83979999999999999</v>
      </c>
      <c r="F262" s="1427">
        <v>0.83979999999999999</v>
      </c>
      <c r="G262" s="1427">
        <v>0.83979999999999999</v>
      </c>
      <c r="H262" s="1427">
        <v>0.83979999999999999</v>
      </c>
      <c r="I262" s="1427">
        <v>0.7016</v>
      </c>
      <c r="J262" s="1427">
        <v>0.7016</v>
      </c>
      <c r="K262" s="1427">
        <v>0.7016</v>
      </c>
      <c r="L262" s="1427">
        <v>0.7016</v>
      </c>
      <c r="M262" s="1427">
        <v>0.7016</v>
      </c>
    </row>
    <row r="263" spans="1:13">
      <c r="A263" s="1441">
        <v>5.7</v>
      </c>
      <c r="B263" s="1427">
        <v>0.85440000000000005</v>
      </c>
      <c r="C263" s="1427">
        <v>0.85440000000000005</v>
      </c>
      <c r="D263" s="1427">
        <v>0.83789999999999998</v>
      </c>
      <c r="E263" s="1427">
        <v>0.83789999999999998</v>
      </c>
      <c r="F263" s="1427">
        <v>0.83789999999999998</v>
      </c>
      <c r="G263" s="1427">
        <v>0.83789999999999998</v>
      </c>
      <c r="H263" s="1427">
        <v>0.83789999999999998</v>
      </c>
      <c r="I263" s="1427">
        <v>0.69940000000000002</v>
      </c>
      <c r="J263" s="1427">
        <v>0.69940000000000002</v>
      </c>
      <c r="K263" s="1427">
        <v>0.69940000000000002</v>
      </c>
      <c r="L263" s="1427">
        <v>0.69940000000000002</v>
      </c>
      <c r="M263" s="1427">
        <v>0.69940000000000002</v>
      </c>
    </row>
    <row r="264" spans="1:13">
      <c r="A264" s="1418">
        <v>5.8</v>
      </c>
      <c r="B264" s="1427">
        <v>0.85289999999999999</v>
      </c>
      <c r="C264" s="1427">
        <v>0.85289999999999999</v>
      </c>
      <c r="D264" s="1427">
        <v>0.83599999999999997</v>
      </c>
      <c r="E264" s="1427">
        <v>0.83599999999999997</v>
      </c>
      <c r="F264" s="1427">
        <v>0.83599999999999997</v>
      </c>
      <c r="G264" s="1427">
        <v>0.83599999999999997</v>
      </c>
      <c r="H264" s="1427">
        <v>0.83599999999999997</v>
      </c>
      <c r="I264" s="1427">
        <v>0.69720000000000004</v>
      </c>
      <c r="J264" s="1427">
        <v>0.69720000000000004</v>
      </c>
      <c r="K264" s="1427">
        <v>0.69720000000000004</v>
      </c>
      <c r="L264" s="1427">
        <v>0.69720000000000004</v>
      </c>
      <c r="M264" s="1427">
        <v>0.69720000000000004</v>
      </c>
    </row>
    <row r="265" spans="1:13">
      <c r="A265" s="1418">
        <v>5.9</v>
      </c>
      <c r="B265" s="1427">
        <v>0.85150000000000003</v>
      </c>
      <c r="C265" s="1427">
        <v>0.85150000000000003</v>
      </c>
      <c r="D265" s="1427">
        <v>0.83430000000000004</v>
      </c>
      <c r="E265" s="1427">
        <v>0.83430000000000004</v>
      </c>
      <c r="F265" s="1427">
        <v>0.83430000000000004</v>
      </c>
      <c r="G265" s="1427">
        <v>0.83430000000000004</v>
      </c>
      <c r="H265" s="1427">
        <v>0.83430000000000004</v>
      </c>
      <c r="I265" s="1427">
        <v>0.69520000000000004</v>
      </c>
      <c r="J265" s="1427">
        <v>0.69520000000000004</v>
      </c>
      <c r="K265" s="1427">
        <v>0.69520000000000004</v>
      </c>
      <c r="L265" s="1427">
        <v>0.69520000000000004</v>
      </c>
      <c r="M265" s="1427">
        <v>0.69520000000000004</v>
      </c>
    </row>
    <row r="266" spans="1:13">
      <c r="A266" s="1418">
        <v>6</v>
      </c>
      <c r="B266" s="1427">
        <v>0.85019999999999996</v>
      </c>
      <c r="C266" s="1427">
        <v>0.85019999999999996</v>
      </c>
      <c r="D266" s="1427">
        <v>0.8327</v>
      </c>
      <c r="E266" s="1427">
        <v>0.8327</v>
      </c>
      <c r="F266" s="1427">
        <v>0.8327</v>
      </c>
      <c r="G266" s="1427">
        <v>0.8327</v>
      </c>
      <c r="H266" s="1427">
        <v>0.8327</v>
      </c>
      <c r="I266" s="1427">
        <v>0.69320000000000004</v>
      </c>
      <c r="J266" s="1427">
        <v>0.69320000000000004</v>
      </c>
      <c r="K266" s="1427">
        <v>0.69320000000000004</v>
      </c>
      <c r="L266" s="1427">
        <v>0.69320000000000004</v>
      </c>
      <c r="M266" s="1427">
        <v>0.69320000000000004</v>
      </c>
    </row>
    <row r="267" spans="1:13">
      <c r="A267" s="1418">
        <v>6.1</v>
      </c>
      <c r="B267" s="1427">
        <v>0.84899999999999998</v>
      </c>
      <c r="C267" s="1427">
        <v>0.84899999999999998</v>
      </c>
      <c r="D267" s="1427">
        <v>0.83109999999999995</v>
      </c>
      <c r="E267" s="1427">
        <v>0.83109999999999995</v>
      </c>
      <c r="F267" s="1427">
        <v>0.83109999999999995</v>
      </c>
      <c r="G267" s="1427">
        <v>0.83109999999999995</v>
      </c>
      <c r="H267" s="1427">
        <v>0.83109999999999995</v>
      </c>
      <c r="I267" s="1427">
        <v>0.69130000000000003</v>
      </c>
      <c r="J267" s="1427">
        <v>0.69130000000000003</v>
      </c>
      <c r="K267" s="1427">
        <v>0.69130000000000003</v>
      </c>
      <c r="L267" s="1427">
        <v>0.69130000000000003</v>
      </c>
      <c r="M267" s="1427">
        <v>0.69130000000000003</v>
      </c>
    </row>
    <row r="268" spans="1:13">
      <c r="A268" s="1418">
        <v>6.2</v>
      </c>
      <c r="B268" s="1427">
        <v>0.8478</v>
      </c>
      <c r="C268" s="1427">
        <v>0.8478</v>
      </c>
      <c r="D268" s="1427">
        <v>0.8296</v>
      </c>
      <c r="E268" s="1427">
        <v>0.8296</v>
      </c>
      <c r="F268" s="1427">
        <v>0.8296</v>
      </c>
      <c r="G268" s="1427">
        <v>0.8296</v>
      </c>
      <c r="H268" s="1427">
        <v>0.8296</v>
      </c>
      <c r="I268" s="1427">
        <v>0.68940000000000001</v>
      </c>
      <c r="J268" s="1427">
        <v>0.68940000000000001</v>
      </c>
      <c r="K268" s="1427">
        <v>0.68940000000000001</v>
      </c>
      <c r="L268" s="1427">
        <v>0.68940000000000001</v>
      </c>
      <c r="M268" s="1427">
        <v>0.68940000000000001</v>
      </c>
    </row>
    <row r="269" spans="1:13">
      <c r="A269" s="1418">
        <v>6.3</v>
      </c>
      <c r="B269" s="1427">
        <v>0.84670000000000001</v>
      </c>
      <c r="C269" s="1427">
        <v>0.84670000000000001</v>
      </c>
      <c r="D269" s="1427">
        <v>0.82820000000000005</v>
      </c>
      <c r="E269" s="1427">
        <v>0.82820000000000005</v>
      </c>
      <c r="F269" s="1427">
        <v>0.82820000000000005</v>
      </c>
      <c r="G269" s="1427">
        <v>0.82820000000000005</v>
      </c>
      <c r="H269" s="1427">
        <v>0.82820000000000005</v>
      </c>
      <c r="I269" s="1427">
        <v>0.68769999999999998</v>
      </c>
      <c r="J269" s="1427">
        <v>0.68769999999999998</v>
      </c>
      <c r="K269" s="1427">
        <v>0.68769999999999998</v>
      </c>
      <c r="L269" s="1427">
        <v>0.68769999999999998</v>
      </c>
      <c r="M269" s="1427">
        <v>0.68769999999999998</v>
      </c>
    </row>
    <row r="270" spans="1:13">
      <c r="A270" s="1418">
        <v>6.4</v>
      </c>
      <c r="B270" s="1427">
        <v>0.84570000000000001</v>
      </c>
      <c r="C270" s="1427">
        <v>0.84570000000000001</v>
      </c>
      <c r="D270" s="1427">
        <v>0.82689999999999997</v>
      </c>
      <c r="E270" s="1427">
        <v>0.82689999999999997</v>
      </c>
      <c r="F270" s="1427">
        <v>0.82689999999999997</v>
      </c>
      <c r="G270" s="1427">
        <v>0.82689999999999997</v>
      </c>
      <c r="H270" s="1427">
        <v>0.82689999999999997</v>
      </c>
      <c r="I270" s="1427">
        <v>0.68610000000000004</v>
      </c>
      <c r="J270" s="1427">
        <v>0.68610000000000004</v>
      </c>
      <c r="K270" s="1427">
        <v>0.68610000000000004</v>
      </c>
      <c r="L270" s="1427">
        <v>0.68610000000000004</v>
      </c>
      <c r="M270" s="1427">
        <v>0.68610000000000004</v>
      </c>
    </row>
    <row r="271" spans="1:13">
      <c r="A271" s="1418">
        <v>6.5</v>
      </c>
      <c r="B271" s="1427">
        <v>0.84470000000000001</v>
      </c>
      <c r="C271" s="1427">
        <v>0.84470000000000001</v>
      </c>
      <c r="D271" s="1427">
        <v>0.82569999999999999</v>
      </c>
      <c r="E271" s="1427">
        <v>0.82569999999999999</v>
      </c>
      <c r="F271" s="1427">
        <v>0.82569999999999999</v>
      </c>
      <c r="G271" s="1427">
        <v>0.82569999999999999</v>
      </c>
      <c r="H271" s="1427">
        <v>0.82569999999999999</v>
      </c>
      <c r="I271" s="1427">
        <v>0.68440000000000001</v>
      </c>
      <c r="J271" s="1427">
        <v>0.68440000000000001</v>
      </c>
      <c r="K271" s="1427">
        <v>0.68440000000000001</v>
      </c>
      <c r="L271" s="1427">
        <v>0.68440000000000001</v>
      </c>
      <c r="M271" s="1427">
        <v>0.68440000000000001</v>
      </c>
    </row>
    <row r="272" spans="1:13">
      <c r="A272" s="1418">
        <v>6.6</v>
      </c>
      <c r="B272" s="1427">
        <v>0.84370000000000001</v>
      </c>
      <c r="C272" s="1427">
        <v>0.84370000000000001</v>
      </c>
      <c r="D272" s="1427">
        <v>0.82450000000000001</v>
      </c>
      <c r="E272" s="1427">
        <v>0.82450000000000001</v>
      </c>
      <c r="F272" s="1427">
        <v>0.82450000000000001</v>
      </c>
      <c r="G272" s="1427">
        <v>0.82450000000000001</v>
      </c>
      <c r="H272" s="1427">
        <v>0.82450000000000001</v>
      </c>
      <c r="I272" s="1427">
        <v>0.68289999999999995</v>
      </c>
      <c r="J272" s="1427">
        <v>0.68289999999999995</v>
      </c>
      <c r="K272" s="1427">
        <v>0.68289999999999995</v>
      </c>
      <c r="L272" s="1427">
        <v>0.68289999999999995</v>
      </c>
      <c r="M272" s="1427">
        <v>0.68289999999999995</v>
      </c>
    </row>
    <row r="273" spans="1:13">
      <c r="A273" s="1418">
        <v>6.7</v>
      </c>
      <c r="B273" s="1427">
        <v>0.8427</v>
      </c>
      <c r="C273" s="1427">
        <v>0.8427</v>
      </c>
      <c r="D273" s="1427">
        <v>0.82330000000000003</v>
      </c>
      <c r="E273" s="1427">
        <v>0.82330000000000003</v>
      </c>
      <c r="F273" s="1427">
        <v>0.82330000000000003</v>
      </c>
      <c r="G273" s="1427">
        <v>0.82330000000000003</v>
      </c>
      <c r="H273" s="1427">
        <v>0.82330000000000003</v>
      </c>
      <c r="I273" s="1427">
        <v>0.68130000000000002</v>
      </c>
      <c r="J273" s="1427">
        <v>0.68130000000000002</v>
      </c>
      <c r="K273" s="1427">
        <v>0.68130000000000002</v>
      </c>
      <c r="L273" s="1427">
        <v>0.68130000000000002</v>
      </c>
      <c r="M273" s="1427">
        <v>0.68130000000000002</v>
      </c>
    </row>
    <row r="274" spans="1:13">
      <c r="A274" s="1418">
        <v>6.8</v>
      </c>
      <c r="B274" s="1427">
        <v>0.84179999999999999</v>
      </c>
      <c r="C274" s="1427">
        <v>0.84179999999999999</v>
      </c>
      <c r="D274" s="1427">
        <v>0.82210000000000005</v>
      </c>
      <c r="E274" s="1427">
        <v>0.82210000000000005</v>
      </c>
      <c r="F274" s="1427">
        <v>0.82210000000000005</v>
      </c>
      <c r="G274" s="1427">
        <v>0.82210000000000005</v>
      </c>
      <c r="H274" s="1427">
        <v>0.82210000000000005</v>
      </c>
      <c r="I274" s="1427">
        <v>0.67979999999999996</v>
      </c>
      <c r="J274" s="1427">
        <v>0.67979999999999996</v>
      </c>
      <c r="K274" s="1427">
        <v>0.67979999999999996</v>
      </c>
      <c r="L274" s="1427">
        <v>0.67979999999999996</v>
      </c>
      <c r="M274" s="1427">
        <v>0.67979999999999996</v>
      </c>
    </row>
    <row r="275" spans="1:13">
      <c r="A275" s="1418">
        <v>6.9</v>
      </c>
      <c r="B275" s="1427">
        <v>0.84089999999999998</v>
      </c>
      <c r="C275" s="1427">
        <v>0.84089999999999998</v>
      </c>
      <c r="D275" s="1427">
        <v>0.82099999999999995</v>
      </c>
      <c r="E275" s="1427">
        <v>0.82099999999999995</v>
      </c>
      <c r="F275" s="1427">
        <v>0.82099999999999995</v>
      </c>
      <c r="G275" s="1427">
        <v>0.82099999999999995</v>
      </c>
      <c r="H275" s="1427">
        <v>0.82099999999999995</v>
      </c>
      <c r="I275" s="1427">
        <v>0.67849999999999999</v>
      </c>
      <c r="J275" s="1427">
        <v>0.67849999999999999</v>
      </c>
      <c r="K275" s="1427">
        <v>0.67849999999999999</v>
      </c>
      <c r="L275" s="1427">
        <v>0.67849999999999999</v>
      </c>
      <c r="M275" s="1427">
        <v>0.67849999999999999</v>
      </c>
    </row>
    <row r="276" spans="1:13">
      <c r="A276" s="1418">
        <v>7</v>
      </c>
      <c r="B276" s="1427">
        <v>0.84009999999999996</v>
      </c>
      <c r="C276" s="1427">
        <v>0.84009999999999996</v>
      </c>
      <c r="D276" s="1427">
        <v>0.81989999999999996</v>
      </c>
      <c r="E276" s="1427">
        <v>0.81989999999999996</v>
      </c>
      <c r="F276" s="1427">
        <v>0.81989999999999996</v>
      </c>
      <c r="G276" s="1427">
        <v>0.81989999999999996</v>
      </c>
      <c r="H276" s="1427">
        <v>0.81989999999999996</v>
      </c>
      <c r="I276" s="1427">
        <v>0.67720000000000002</v>
      </c>
      <c r="J276" s="1427">
        <v>0.67720000000000002</v>
      </c>
      <c r="K276" s="1427">
        <v>0.67720000000000002</v>
      </c>
      <c r="L276" s="1427">
        <v>0.67720000000000002</v>
      </c>
      <c r="M276" s="1427">
        <v>0.67720000000000002</v>
      </c>
    </row>
    <row r="277" spans="1:13">
      <c r="A277" s="1418">
        <v>7.1</v>
      </c>
      <c r="B277" s="1427">
        <v>0.83930000000000005</v>
      </c>
      <c r="C277" s="1427">
        <v>0.83930000000000005</v>
      </c>
      <c r="D277" s="1427">
        <v>0.81889999999999996</v>
      </c>
      <c r="E277" s="1427">
        <v>0.81889999999999996</v>
      </c>
      <c r="F277" s="1427">
        <v>0.81889999999999996</v>
      </c>
      <c r="G277" s="1427">
        <v>0.81889999999999996</v>
      </c>
      <c r="H277" s="1427">
        <v>0.81889999999999996</v>
      </c>
      <c r="I277" s="1427">
        <v>0.67589999999999995</v>
      </c>
      <c r="J277" s="1427">
        <v>0.67589999999999995</v>
      </c>
      <c r="K277" s="1427">
        <v>0.67589999999999995</v>
      </c>
      <c r="L277" s="1427">
        <v>0.67589999999999995</v>
      </c>
      <c r="M277" s="1427">
        <v>0.67589999999999995</v>
      </c>
    </row>
    <row r="278" spans="1:13">
      <c r="A278" s="1418">
        <v>7.2</v>
      </c>
      <c r="B278" s="1427">
        <v>0.83850000000000002</v>
      </c>
      <c r="C278" s="1427">
        <v>0.83850000000000002</v>
      </c>
      <c r="D278" s="1427">
        <v>0.81789999999999996</v>
      </c>
      <c r="E278" s="1427">
        <v>0.81789999999999996</v>
      </c>
      <c r="F278" s="1427">
        <v>0.81789999999999996</v>
      </c>
      <c r="G278" s="1427">
        <v>0.81789999999999996</v>
      </c>
      <c r="H278" s="1427">
        <v>0.81789999999999996</v>
      </c>
      <c r="I278" s="1427">
        <v>0.67459999999999998</v>
      </c>
      <c r="J278" s="1427">
        <v>0.67459999999999998</v>
      </c>
      <c r="K278" s="1427">
        <v>0.67459999999999998</v>
      </c>
      <c r="L278" s="1427">
        <v>0.67459999999999998</v>
      </c>
      <c r="M278" s="1427">
        <v>0.67459999999999998</v>
      </c>
    </row>
    <row r="279" spans="1:13">
      <c r="A279" s="1418">
        <v>7.3</v>
      </c>
      <c r="B279" s="1427">
        <v>0.8377</v>
      </c>
      <c r="C279" s="1427">
        <v>0.8377</v>
      </c>
      <c r="D279" s="1427">
        <v>0.81689999999999996</v>
      </c>
      <c r="E279" s="1427">
        <v>0.81689999999999996</v>
      </c>
      <c r="F279" s="1427">
        <v>0.81689999999999996</v>
      </c>
      <c r="G279" s="1427">
        <v>0.81689999999999996</v>
      </c>
      <c r="H279" s="1427">
        <v>0.81689999999999996</v>
      </c>
      <c r="I279" s="1427">
        <v>0.6734</v>
      </c>
      <c r="J279" s="1427">
        <v>0.6734</v>
      </c>
      <c r="K279" s="1427">
        <v>0.6734</v>
      </c>
      <c r="L279" s="1427">
        <v>0.6734</v>
      </c>
      <c r="M279" s="1427">
        <v>0.6734</v>
      </c>
    </row>
    <row r="280" spans="1:13">
      <c r="A280" s="1418">
        <v>7.4</v>
      </c>
      <c r="B280" s="1427">
        <v>0.83699999999999997</v>
      </c>
      <c r="C280" s="1427">
        <v>0.83699999999999997</v>
      </c>
      <c r="D280" s="1427">
        <v>0.81599999999999995</v>
      </c>
      <c r="E280" s="1427">
        <v>0.81599999999999995</v>
      </c>
      <c r="F280" s="1427">
        <v>0.81599999999999995</v>
      </c>
      <c r="G280" s="1427">
        <v>0.81599999999999995</v>
      </c>
      <c r="H280" s="1427">
        <v>0.81599999999999995</v>
      </c>
      <c r="I280" s="1427">
        <v>0.67210000000000003</v>
      </c>
      <c r="J280" s="1427">
        <v>0.67210000000000003</v>
      </c>
      <c r="K280" s="1427">
        <v>0.67210000000000003</v>
      </c>
      <c r="L280" s="1427">
        <v>0.67210000000000003</v>
      </c>
      <c r="M280" s="1427">
        <v>0.67210000000000003</v>
      </c>
    </row>
    <row r="281" spans="1:13">
      <c r="A281" s="1418">
        <v>7.5</v>
      </c>
      <c r="B281" s="1427">
        <v>0.83630000000000004</v>
      </c>
      <c r="C281" s="1427">
        <v>0.83630000000000004</v>
      </c>
      <c r="D281" s="1427">
        <v>0.81510000000000005</v>
      </c>
      <c r="E281" s="1427">
        <v>0.81510000000000005</v>
      </c>
      <c r="F281" s="1427">
        <v>0.81510000000000005</v>
      </c>
      <c r="G281" s="1427">
        <v>0.81510000000000005</v>
      </c>
      <c r="H281" s="1427">
        <v>0.81510000000000005</v>
      </c>
      <c r="I281" s="1427">
        <v>0.67090000000000005</v>
      </c>
      <c r="J281" s="1427">
        <v>0.67090000000000005</v>
      </c>
      <c r="K281" s="1427">
        <v>0.67090000000000005</v>
      </c>
      <c r="L281" s="1427">
        <v>0.67090000000000005</v>
      </c>
      <c r="M281" s="1427">
        <v>0.67090000000000005</v>
      </c>
    </row>
    <row r="282" spans="1:13">
      <c r="A282" s="1418">
        <v>7.6</v>
      </c>
      <c r="B282" s="1427">
        <v>0.83560000000000001</v>
      </c>
      <c r="C282" s="1427">
        <v>0.83560000000000001</v>
      </c>
      <c r="D282" s="1427">
        <v>0.81420000000000003</v>
      </c>
      <c r="E282" s="1427">
        <v>0.81420000000000003</v>
      </c>
      <c r="F282" s="1427">
        <v>0.81420000000000003</v>
      </c>
      <c r="G282" s="1427">
        <v>0.81420000000000003</v>
      </c>
      <c r="H282" s="1427">
        <v>0.81420000000000003</v>
      </c>
      <c r="I282" s="1427">
        <v>0.66979999999999995</v>
      </c>
      <c r="J282" s="1427">
        <v>0.66979999999999995</v>
      </c>
      <c r="K282" s="1427">
        <v>0.66979999999999995</v>
      </c>
      <c r="L282" s="1427">
        <v>0.66979999999999995</v>
      </c>
      <c r="M282" s="1427">
        <v>0.66979999999999995</v>
      </c>
    </row>
    <row r="283" spans="1:13">
      <c r="A283" s="1418">
        <v>7.7</v>
      </c>
      <c r="B283" s="1427">
        <v>0.83489999999999998</v>
      </c>
      <c r="C283" s="1427">
        <v>0.83489999999999998</v>
      </c>
      <c r="D283" s="1427">
        <v>0.81330000000000002</v>
      </c>
      <c r="E283" s="1427">
        <v>0.81330000000000002</v>
      </c>
      <c r="F283" s="1427">
        <v>0.81330000000000002</v>
      </c>
      <c r="G283" s="1427">
        <v>0.81330000000000002</v>
      </c>
      <c r="H283" s="1427">
        <v>0.81330000000000002</v>
      </c>
      <c r="I283" s="1427">
        <v>0.66869999999999996</v>
      </c>
      <c r="J283" s="1427">
        <v>0.66869999999999996</v>
      </c>
      <c r="K283" s="1427">
        <v>0.66869999999999996</v>
      </c>
      <c r="L283" s="1427">
        <v>0.66869999999999996</v>
      </c>
      <c r="M283" s="1427">
        <v>0.66869999999999996</v>
      </c>
    </row>
    <row r="284" spans="1:13">
      <c r="A284" s="1418">
        <v>7.8</v>
      </c>
      <c r="B284" s="1427">
        <v>0.83420000000000005</v>
      </c>
      <c r="C284" s="1427">
        <v>0.83420000000000005</v>
      </c>
      <c r="D284" s="1427">
        <v>0.81240000000000001</v>
      </c>
      <c r="E284" s="1427">
        <v>0.81240000000000001</v>
      </c>
      <c r="F284" s="1427">
        <v>0.81240000000000001</v>
      </c>
      <c r="G284" s="1427">
        <v>0.81240000000000001</v>
      </c>
      <c r="H284" s="1427">
        <v>0.81240000000000001</v>
      </c>
      <c r="I284" s="1427">
        <v>0.66759999999999997</v>
      </c>
      <c r="J284" s="1427">
        <v>0.66759999999999997</v>
      </c>
      <c r="K284" s="1427">
        <v>0.66759999999999997</v>
      </c>
      <c r="L284" s="1427">
        <v>0.66759999999999997</v>
      </c>
      <c r="M284" s="1427">
        <v>0.66759999999999997</v>
      </c>
    </row>
    <row r="285" spans="1:13">
      <c r="A285" s="1418">
        <v>7.9</v>
      </c>
      <c r="B285" s="1427">
        <v>0.83350000000000002</v>
      </c>
      <c r="C285" s="1427">
        <v>0.83350000000000002</v>
      </c>
      <c r="D285" s="1427">
        <v>0.81159999999999999</v>
      </c>
      <c r="E285" s="1427">
        <v>0.81159999999999999</v>
      </c>
      <c r="F285" s="1427">
        <v>0.81159999999999999</v>
      </c>
      <c r="G285" s="1427">
        <v>0.81159999999999999</v>
      </c>
      <c r="H285" s="1427">
        <v>0.81159999999999999</v>
      </c>
      <c r="I285" s="1427">
        <v>0.66649999999999998</v>
      </c>
      <c r="J285" s="1427">
        <v>0.66649999999999998</v>
      </c>
      <c r="K285" s="1427">
        <v>0.66649999999999998</v>
      </c>
      <c r="L285" s="1427">
        <v>0.66649999999999998</v>
      </c>
      <c r="M285" s="1427">
        <v>0.66649999999999998</v>
      </c>
    </row>
    <row r="286" spans="1:13">
      <c r="A286" s="1418">
        <v>8</v>
      </c>
      <c r="B286" s="1427">
        <v>0.83279999999999998</v>
      </c>
      <c r="C286" s="1427">
        <v>0.83279999999999998</v>
      </c>
      <c r="D286" s="1427">
        <v>0.81079999999999997</v>
      </c>
      <c r="E286" s="1427">
        <v>0.81079999999999997</v>
      </c>
      <c r="F286" s="1427">
        <v>0.81079999999999997</v>
      </c>
      <c r="G286" s="1427">
        <v>0.81079999999999997</v>
      </c>
      <c r="H286" s="1427">
        <v>0.81079999999999997</v>
      </c>
      <c r="I286" s="1427">
        <v>0.66549999999999998</v>
      </c>
      <c r="J286" s="1427">
        <v>0.66549999999999998</v>
      </c>
      <c r="K286" s="1427">
        <v>0.66549999999999998</v>
      </c>
      <c r="L286" s="1427">
        <v>0.66549999999999998</v>
      </c>
      <c r="M286" s="1427">
        <v>0.66549999999999998</v>
      </c>
    </row>
    <row r="287" spans="1:13">
      <c r="A287" s="1418">
        <v>8.1</v>
      </c>
      <c r="B287" s="1427">
        <v>0.83220000000000005</v>
      </c>
      <c r="C287" s="1427">
        <v>0.83220000000000005</v>
      </c>
      <c r="D287" s="1427">
        <v>0.81</v>
      </c>
      <c r="E287" s="1427">
        <v>0.81</v>
      </c>
      <c r="F287" s="1427">
        <v>0.81</v>
      </c>
      <c r="G287" s="1427">
        <v>0.81</v>
      </c>
      <c r="H287" s="1427">
        <v>0.81</v>
      </c>
      <c r="I287" s="1427">
        <v>0.66439999999999999</v>
      </c>
      <c r="J287" s="1427">
        <v>0.66439999999999999</v>
      </c>
      <c r="K287" s="1427">
        <v>0.66439999999999999</v>
      </c>
      <c r="L287" s="1427">
        <v>0.66439999999999999</v>
      </c>
      <c r="M287" s="1427">
        <v>0.66439999999999999</v>
      </c>
    </row>
    <row r="288" spans="1:13">
      <c r="A288" s="1418">
        <v>8.1999999999999993</v>
      </c>
      <c r="B288" s="1427">
        <v>0.83160000000000001</v>
      </c>
      <c r="C288" s="1427">
        <v>0.83160000000000001</v>
      </c>
      <c r="D288" s="1427">
        <v>0.80920000000000003</v>
      </c>
      <c r="E288" s="1427">
        <v>0.80920000000000003</v>
      </c>
      <c r="F288" s="1427">
        <v>0.80920000000000003</v>
      </c>
      <c r="G288" s="1427">
        <v>0.80920000000000003</v>
      </c>
      <c r="H288" s="1427">
        <v>0.80920000000000003</v>
      </c>
      <c r="I288" s="1427">
        <v>0.66339999999999999</v>
      </c>
      <c r="J288" s="1427">
        <v>0.66339999999999999</v>
      </c>
      <c r="K288" s="1427">
        <v>0.66339999999999999</v>
      </c>
      <c r="L288" s="1427">
        <v>0.66339999999999999</v>
      </c>
      <c r="M288" s="1427">
        <v>0.66339999999999999</v>
      </c>
    </row>
    <row r="289" spans="1:13">
      <c r="A289" s="1418">
        <v>8.3000000000000007</v>
      </c>
      <c r="B289" s="1427">
        <v>0.83099999999999996</v>
      </c>
      <c r="C289" s="1427">
        <v>0.83099999999999996</v>
      </c>
      <c r="D289" s="1427">
        <v>0.80840000000000001</v>
      </c>
      <c r="E289" s="1427">
        <v>0.80840000000000001</v>
      </c>
      <c r="F289" s="1427">
        <v>0.80840000000000001</v>
      </c>
      <c r="G289" s="1427">
        <v>0.80840000000000001</v>
      </c>
      <c r="H289" s="1427">
        <v>0.80840000000000001</v>
      </c>
      <c r="I289" s="1427">
        <v>0.66239999999999999</v>
      </c>
      <c r="J289" s="1427">
        <v>0.66239999999999999</v>
      </c>
      <c r="K289" s="1427">
        <v>0.66239999999999999</v>
      </c>
      <c r="L289" s="1427">
        <v>0.66239999999999999</v>
      </c>
      <c r="M289" s="1427">
        <v>0.66239999999999999</v>
      </c>
    </row>
    <row r="290" spans="1:13">
      <c r="A290" s="1418">
        <v>8.4</v>
      </c>
      <c r="B290" s="1427">
        <v>0.83040000000000003</v>
      </c>
      <c r="C290" s="1427">
        <v>0.83040000000000003</v>
      </c>
      <c r="D290" s="1427">
        <v>0.80759999999999998</v>
      </c>
      <c r="E290" s="1427">
        <v>0.80759999999999998</v>
      </c>
      <c r="F290" s="1427">
        <v>0.80759999999999998</v>
      </c>
      <c r="G290" s="1427">
        <v>0.80759999999999998</v>
      </c>
      <c r="H290" s="1427">
        <v>0.80759999999999998</v>
      </c>
      <c r="I290" s="1427">
        <v>0.66139999999999999</v>
      </c>
      <c r="J290" s="1427">
        <v>0.66139999999999999</v>
      </c>
      <c r="K290" s="1427">
        <v>0.66139999999999999</v>
      </c>
      <c r="L290" s="1427">
        <v>0.66139999999999999</v>
      </c>
      <c r="M290" s="1427">
        <v>0.66139999999999999</v>
      </c>
    </row>
    <row r="291" spans="1:13">
      <c r="A291" s="1418">
        <v>8.5</v>
      </c>
      <c r="B291" s="1427">
        <v>0.82979999999999998</v>
      </c>
      <c r="C291" s="1427">
        <v>0.82979999999999998</v>
      </c>
      <c r="D291" s="1427">
        <v>0.80679999999999996</v>
      </c>
      <c r="E291" s="1427">
        <v>0.80679999999999996</v>
      </c>
      <c r="F291" s="1427">
        <v>0.80679999999999996</v>
      </c>
      <c r="G291" s="1427">
        <v>0.80679999999999996</v>
      </c>
      <c r="H291" s="1427">
        <v>0.80679999999999996</v>
      </c>
      <c r="I291" s="1427">
        <v>0.66049999999999998</v>
      </c>
      <c r="J291" s="1427">
        <v>0.66049999999999998</v>
      </c>
      <c r="K291" s="1427">
        <v>0.66049999999999998</v>
      </c>
      <c r="L291" s="1427">
        <v>0.66049999999999998</v>
      </c>
      <c r="M291" s="1427">
        <v>0.66049999999999998</v>
      </c>
    </row>
    <row r="292" spans="1:13">
      <c r="A292" s="1418">
        <v>8.6</v>
      </c>
      <c r="B292" s="1427">
        <v>0.82920000000000005</v>
      </c>
      <c r="C292" s="1427">
        <v>0.82920000000000005</v>
      </c>
      <c r="D292" s="1427">
        <v>0.80600000000000005</v>
      </c>
      <c r="E292" s="1427">
        <v>0.80600000000000005</v>
      </c>
      <c r="F292" s="1427">
        <v>0.80600000000000005</v>
      </c>
      <c r="G292" s="1427">
        <v>0.80600000000000005</v>
      </c>
      <c r="H292" s="1427">
        <v>0.80600000000000005</v>
      </c>
      <c r="I292" s="1427">
        <v>0.65949999999999998</v>
      </c>
      <c r="J292" s="1427">
        <v>0.65949999999999998</v>
      </c>
      <c r="K292" s="1427">
        <v>0.65949999999999998</v>
      </c>
      <c r="L292" s="1427">
        <v>0.65949999999999998</v>
      </c>
      <c r="M292" s="1427">
        <v>0.65949999999999998</v>
      </c>
    </row>
    <row r="293" spans="1:13">
      <c r="A293" s="1418">
        <v>8.6999999999999993</v>
      </c>
      <c r="B293" s="1427">
        <v>0.8286</v>
      </c>
      <c r="C293" s="1427">
        <v>0.8286</v>
      </c>
      <c r="D293" s="1427">
        <v>0.80520000000000003</v>
      </c>
      <c r="E293" s="1427">
        <v>0.80520000000000003</v>
      </c>
      <c r="F293" s="1427">
        <v>0.80520000000000003</v>
      </c>
      <c r="G293" s="1427">
        <v>0.80520000000000003</v>
      </c>
      <c r="H293" s="1427">
        <v>0.80520000000000003</v>
      </c>
      <c r="I293" s="1427">
        <v>0.65859999999999996</v>
      </c>
      <c r="J293" s="1427">
        <v>0.65859999999999996</v>
      </c>
      <c r="K293" s="1427">
        <v>0.65859999999999996</v>
      </c>
      <c r="L293" s="1427">
        <v>0.65859999999999996</v>
      </c>
      <c r="M293" s="1427">
        <v>0.65859999999999996</v>
      </c>
    </row>
    <row r="294" spans="1:13">
      <c r="A294" s="1418">
        <v>8.8000000000000007</v>
      </c>
      <c r="B294" s="1427">
        <v>0.82799999999999996</v>
      </c>
      <c r="C294" s="1427">
        <v>0.82799999999999996</v>
      </c>
      <c r="D294" s="1427">
        <v>0.8044</v>
      </c>
      <c r="E294" s="1427">
        <v>0.8044</v>
      </c>
      <c r="F294" s="1427">
        <v>0.8044</v>
      </c>
      <c r="G294" s="1427">
        <v>0.8044</v>
      </c>
      <c r="H294" s="1427">
        <v>0.8044</v>
      </c>
      <c r="I294" s="1427">
        <v>0.65759999999999996</v>
      </c>
      <c r="J294" s="1427">
        <v>0.65759999999999996</v>
      </c>
      <c r="K294" s="1427">
        <v>0.65759999999999996</v>
      </c>
      <c r="L294" s="1427">
        <v>0.65759999999999996</v>
      </c>
      <c r="M294" s="1427">
        <v>0.65759999999999996</v>
      </c>
    </row>
    <row r="295" spans="1:13">
      <c r="A295" s="1418">
        <v>8.9</v>
      </c>
      <c r="B295" s="1427">
        <v>0.82740000000000002</v>
      </c>
      <c r="C295" s="1427">
        <v>0.82740000000000002</v>
      </c>
      <c r="D295" s="1427">
        <v>0.80359999999999998</v>
      </c>
      <c r="E295" s="1427">
        <v>0.80359999999999998</v>
      </c>
      <c r="F295" s="1427">
        <v>0.80359999999999998</v>
      </c>
      <c r="G295" s="1427">
        <v>0.80359999999999998</v>
      </c>
      <c r="H295" s="1427">
        <v>0.80359999999999998</v>
      </c>
      <c r="I295" s="1427">
        <v>0.65669999999999995</v>
      </c>
      <c r="J295" s="1427">
        <v>0.65669999999999995</v>
      </c>
      <c r="K295" s="1427">
        <v>0.65669999999999995</v>
      </c>
      <c r="L295" s="1427">
        <v>0.65669999999999995</v>
      </c>
      <c r="M295" s="1427">
        <v>0.65669999999999995</v>
      </c>
    </row>
    <row r="296" spans="1:13">
      <c r="A296" s="1441">
        <v>9</v>
      </c>
      <c r="B296" s="1427">
        <v>0.82679999999999998</v>
      </c>
      <c r="C296" s="1427">
        <v>0.82679999999999998</v>
      </c>
      <c r="D296" s="1427">
        <v>0.80279999999999996</v>
      </c>
      <c r="E296" s="1427">
        <v>0.80279999999999996</v>
      </c>
      <c r="F296" s="1427">
        <v>0.80279999999999996</v>
      </c>
      <c r="G296" s="1427">
        <v>0.80279999999999996</v>
      </c>
      <c r="H296" s="1427">
        <v>0.80279999999999996</v>
      </c>
      <c r="I296" s="1427">
        <v>0.65569999999999995</v>
      </c>
      <c r="J296" s="1427">
        <v>0.65569999999999995</v>
      </c>
      <c r="K296" s="1427">
        <v>0.65569999999999995</v>
      </c>
      <c r="L296" s="1427">
        <v>0.65569999999999995</v>
      </c>
      <c r="M296" s="1427">
        <v>0.65569999999999995</v>
      </c>
    </row>
    <row r="297" spans="1:13">
      <c r="A297" s="1441">
        <v>9.1</v>
      </c>
      <c r="B297" s="1427">
        <v>0.82620000000000005</v>
      </c>
      <c r="C297" s="1427">
        <v>0.82620000000000005</v>
      </c>
      <c r="D297" s="1427">
        <v>0.80200000000000005</v>
      </c>
      <c r="E297" s="1427">
        <v>0.80200000000000005</v>
      </c>
      <c r="F297" s="1427">
        <v>0.80200000000000005</v>
      </c>
      <c r="G297" s="1427">
        <v>0.80200000000000005</v>
      </c>
      <c r="H297" s="1427">
        <v>0.80200000000000005</v>
      </c>
      <c r="I297" s="1427">
        <v>0.65480000000000005</v>
      </c>
      <c r="J297" s="1427">
        <v>0.65480000000000005</v>
      </c>
      <c r="K297" s="1427">
        <v>0.65480000000000005</v>
      </c>
      <c r="L297" s="1427">
        <v>0.65480000000000005</v>
      </c>
      <c r="M297" s="1427">
        <v>0.65480000000000005</v>
      </c>
    </row>
    <row r="298" spans="1:13">
      <c r="A298" s="1441">
        <v>9.1999999999999993</v>
      </c>
      <c r="B298" s="1427">
        <v>0.8256</v>
      </c>
      <c r="C298" s="1427">
        <v>0.8256</v>
      </c>
      <c r="D298" s="1427">
        <v>0.80120000000000002</v>
      </c>
      <c r="E298" s="1427">
        <v>0.80120000000000002</v>
      </c>
      <c r="F298" s="1427">
        <v>0.80120000000000002</v>
      </c>
      <c r="G298" s="1427">
        <v>0.80120000000000002</v>
      </c>
      <c r="H298" s="1427">
        <v>0.80120000000000002</v>
      </c>
      <c r="I298" s="1427">
        <v>0.65380000000000005</v>
      </c>
      <c r="J298" s="1427">
        <v>0.65380000000000005</v>
      </c>
      <c r="K298" s="1427">
        <v>0.65380000000000005</v>
      </c>
      <c r="L298" s="1427">
        <v>0.65380000000000005</v>
      </c>
      <c r="M298" s="1427">
        <v>0.65380000000000005</v>
      </c>
    </row>
    <row r="299" spans="1:13">
      <c r="A299" s="1441">
        <v>9.3000000000000007</v>
      </c>
      <c r="B299" s="1427">
        <v>0.82499999999999996</v>
      </c>
      <c r="C299" s="1427">
        <v>0.82499999999999996</v>
      </c>
      <c r="D299" s="1427">
        <v>0.8004</v>
      </c>
      <c r="E299" s="1427">
        <v>0.8004</v>
      </c>
      <c r="F299" s="1427">
        <v>0.8004</v>
      </c>
      <c r="G299" s="1427">
        <v>0.8004</v>
      </c>
      <c r="H299" s="1427">
        <v>0.8004</v>
      </c>
      <c r="I299" s="1427">
        <v>0.65290000000000004</v>
      </c>
      <c r="J299" s="1427">
        <v>0.65290000000000004</v>
      </c>
      <c r="K299" s="1427">
        <v>0.65290000000000004</v>
      </c>
      <c r="L299" s="1427">
        <v>0.65290000000000004</v>
      </c>
      <c r="M299" s="1427">
        <v>0.65290000000000004</v>
      </c>
    </row>
    <row r="300" spans="1:13">
      <c r="A300" s="1441">
        <v>9.4</v>
      </c>
      <c r="B300" s="1427">
        <v>0.82440000000000002</v>
      </c>
      <c r="C300" s="1427">
        <v>0.82440000000000002</v>
      </c>
      <c r="D300" s="1427">
        <v>0.79959999999999998</v>
      </c>
      <c r="E300" s="1427">
        <v>0.79959999999999998</v>
      </c>
      <c r="F300" s="1427">
        <v>0.79959999999999998</v>
      </c>
      <c r="G300" s="1427">
        <v>0.79959999999999998</v>
      </c>
      <c r="H300" s="1427">
        <v>0.79959999999999998</v>
      </c>
      <c r="I300" s="1427">
        <v>0.65190000000000003</v>
      </c>
      <c r="J300" s="1427">
        <v>0.65190000000000003</v>
      </c>
      <c r="K300" s="1427">
        <v>0.65190000000000003</v>
      </c>
      <c r="L300" s="1427">
        <v>0.65190000000000003</v>
      </c>
      <c r="M300" s="1427">
        <v>0.65190000000000003</v>
      </c>
    </row>
    <row r="301" spans="1:13">
      <c r="A301" s="1441">
        <v>9.5</v>
      </c>
      <c r="B301" s="1427">
        <v>0.82379999999999998</v>
      </c>
      <c r="C301" s="1427">
        <v>0.82379999999999998</v>
      </c>
      <c r="D301" s="1427">
        <v>0.79879999999999995</v>
      </c>
      <c r="E301" s="1427">
        <v>0.79879999999999995</v>
      </c>
      <c r="F301" s="1427">
        <v>0.79879999999999995</v>
      </c>
      <c r="G301" s="1427">
        <v>0.79879999999999995</v>
      </c>
      <c r="H301" s="1427">
        <v>0.79879999999999995</v>
      </c>
      <c r="I301" s="1427">
        <v>0.65100000000000002</v>
      </c>
      <c r="J301" s="1427">
        <v>0.65100000000000002</v>
      </c>
      <c r="K301" s="1427">
        <v>0.65100000000000002</v>
      </c>
      <c r="L301" s="1427">
        <v>0.65100000000000002</v>
      </c>
      <c r="M301" s="1427">
        <v>0.65100000000000002</v>
      </c>
    </row>
    <row r="302" spans="1:13">
      <c r="A302" s="1441">
        <v>9.6</v>
      </c>
      <c r="B302" s="1427">
        <v>0.82320000000000004</v>
      </c>
      <c r="C302" s="1427">
        <v>0.82320000000000004</v>
      </c>
      <c r="D302" s="1427">
        <v>0.79800000000000004</v>
      </c>
      <c r="E302" s="1427">
        <v>0.79800000000000004</v>
      </c>
      <c r="F302" s="1427">
        <v>0.79800000000000004</v>
      </c>
      <c r="G302" s="1427">
        <v>0.79800000000000004</v>
      </c>
      <c r="H302" s="1427">
        <v>0.79800000000000004</v>
      </c>
      <c r="I302" s="1427">
        <v>0.65</v>
      </c>
      <c r="J302" s="1427">
        <v>0.65</v>
      </c>
      <c r="K302" s="1427">
        <v>0.65</v>
      </c>
      <c r="L302" s="1427">
        <v>0.65</v>
      </c>
      <c r="M302" s="1427">
        <v>0.65</v>
      </c>
    </row>
    <row r="303" spans="1:13">
      <c r="A303" s="1441">
        <v>9.6999999999999993</v>
      </c>
      <c r="B303" s="1427">
        <v>0.8226</v>
      </c>
      <c r="C303" s="1427">
        <v>0.8226</v>
      </c>
      <c r="D303" s="1427">
        <v>0.79720000000000002</v>
      </c>
      <c r="E303" s="1427">
        <v>0.79720000000000002</v>
      </c>
      <c r="F303" s="1427">
        <v>0.79720000000000002</v>
      </c>
      <c r="G303" s="1427">
        <v>0.79720000000000002</v>
      </c>
      <c r="H303" s="1427">
        <v>0.79720000000000002</v>
      </c>
      <c r="I303" s="1427">
        <v>0.64900000000000002</v>
      </c>
      <c r="J303" s="1427">
        <v>0.64900000000000002</v>
      </c>
      <c r="K303" s="1427">
        <v>0.64900000000000002</v>
      </c>
      <c r="L303" s="1427">
        <v>0.64900000000000002</v>
      </c>
      <c r="M303" s="1427">
        <v>0.64900000000000002</v>
      </c>
    </row>
    <row r="304" spans="1:13">
      <c r="A304" s="1441">
        <v>9.8000000000000007</v>
      </c>
      <c r="B304" s="1427">
        <v>0.82199999999999995</v>
      </c>
      <c r="C304" s="1427">
        <v>0.82199999999999995</v>
      </c>
      <c r="D304" s="1427">
        <v>0.7964</v>
      </c>
      <c r="E304" s="1427">
        <v>0.7964</v>
      </c>
      <c r="F304" s="1427">
        <v>0.7964</v>
      </c>
      <c r="G304" s="1427">
        <v>0.7964</v>
      </c>
      <c r="H304" s="1427">
        <v>0.7964</v>
      </c>
      <c r="I304" s="1427">
        <v>0.64810000000000001</v>
      </c>
      <c r="J304" s="1427">
        <v>0.64810000000000001</v>
      </c>
      <c r="K304" s="1427">
        <v>0.64810000000000001</v>
      </c>
      <c r="L304" s="1427">
        <v>0.64810000000000001</v>
      </c>
      <c r="M304" s="1427">
        <v>0.64810000000000001</v>
      </c>
    </row>
    <row r="305" spans="1:13">
      <c r="A305" s="1441">
        <v>9.9</v>
      </c>
      <c r="B305" s="1427">
        <v>0.82140000000000002</v>
      </c>
      <c r="C305" s="1427">
        <v>0.82140000000000002</v>
      </c>
      <c r="D305" s="1427">
        <v>0.79559999999999997</v>
      </c>
      <c r="E305" s="1427">
        <v>0.79559999999999997</v>
      </c>
      <c r="F305" s="1427">
        <v>0.79559999999999997</v>
      </c>
      <c r="G305" s="1427">
        <v>0.79559999999999997</v>
      </c>
      <c r="H305" s="1427">
        <v>0.79559999999999997</v>
      </c>
      <c r="I305" s="1427">
        <v>0.64710000000000001</v>
      </c>
      <c r="J305" s="1427">
        <v>0.64710000000000001</v>
      </c>
      <c r="K305" s="1427">
        <v>0.64710000000000001</v>
      </c>
      <c r="L305" s="1427">
        <v>0.64710000000000001</v>
      </c>
      <c r="M305" s="1427">
        <v>0.64710000000000001</v>
      </c>
    </row>
    <row r="306" spans="1:13">
      <c r="A306" s="1441">
        <v>10</v>
      </c>
      <c r="B306" s="1427">
        <v>0.82079999999999997</v>
      </c>
      <c r="C306" s="1427">
        <v>0.82079999999999997</v>
      </c>
      <c r="D306" s="1427">
        <v>0.79479999999999995</v>
      </c>
      <c r="E306" s="1427">
        <v>0.79479999999999995</v>
      </c>
      <c r="F306" s="1427">
        <v>0.79479999999999995</v>
      </c>
      <c r="G306" s="1427">
        <v>0.79479999999999995</v>
      </c>
      <c r="H306" s="1427">
        <v>0.79479999999999995</v>
      </c>
      <c r="I306" s="1427">
        <v>0.6462</v>
      </c>
      <c r="J306" s="1427">
        <v>0.6462</v>
      </c>
      <c r="K306" s="1427">
        <v>0.6462</v>
      </c>
      <c r="L306" s="1427">
        <v>0.6462</v>
      </c>
      <c r="M306" s="1427">
        <v>0.6462</v>
      </c>
    </row>
    <row r="307" spans="1:13" ht="14.25">
      <c r="A307" s="1415" t="s">
        <v>1692</v>
      </c>
      <c r="B307" s="1416"/>
      <c r="C307" s="1416"/>
      <c r="D307" s="1416"/>
      <c r="E307" s="1416"/>
      <c r="F307" s="1416"/>
      <c r="G307" s="1416"/>
      <c r="H307" s="1416"/>
      <c r="I307" s="1416"/>
      <c r="J307" s="1416"/>
      <c r="K307" s="1416"/>
      <c r="L307" s="1416"/>
      <c r="M307" s="1416"/>
    </row>
    <row r="308" spans="1:13">
      <c r="A308" s="1418" t="s">
        <v>1688</v>
      </c>
      <c r="B308" s="1419" t="s">
        <v>1091</v>
      </c>
      <c r="C308" s="1419" t="s">
        <v>1092</v>
      </c>
      <c r="D308" s="1419" t="s">
        <v>1093</v>
      </c>
      <c r="E308" s="1419" t="s">
        <v>1094</v>
      </c>
      <c r="F308" s="1419" t="s">
        <v>1095</v>
      </c>
      <c r="G308" s="1419" t="s">
        <v>1096</v>
      </c>
      <c r="H308" s="1420" t="s">
        <v>1097</v>
      </c>
      <c r="I308" s="1420" t="s">
        <v>1098</v>
      </c>
      <c r="J308" s="1421" t="s">
        <v>1099</v>
      </c>
      <c r="K308" s="1421" t="s">
        <v>1100</v>
      </c>
      <c r="L308" s="1421" t="s">
        <v>1101</v>
      </c>
      <c r="M308" s="1421" t="s">
        <v>1102</v>
      </c>
    </row>
    <row r="309" spans="1:13">
      <c r="A309" s="1418">
        <v>0.1</v>
      </c>
      <c r="B309" s="1427">
        <v>11.506</v>
      </c>
      <c r="C309" s="1427">
        <v>11.506</v>
      </c>
      <c r="D309" s="1427">
        <v>12.015000000000001</v>
      </c>
      <c r="E309" s="1427">
        <v>12.015000000000001</v>
      </c>
      <c r="F309" s="1427">
        <v>12.015000000000001</v>
      </c>
      <c r="G309" s="1427">
        <v>11.118</v>
      </c>
      <c r="H309" s="1427">
        <v>11.118</v>
      </c>
      <c r="I309" s="1427">
        <v>10</v>
      </c>
      <c r="J309" s="1427">
        <v>10</v>
      </c>
      <c r="K309" s="1427">
        <v>10</v>
      </c>
      <c r="L309" s="1427">
        <v>10</v>
      </c>
      <c r="M309" s="1427">
        <v>10</v>
      </c>
    </row>
    <row r="310" spans="1:13">
      <c r="A310" s="1418">
        <v>0.2</v>
      </c>
      <c r="B310" s="1427">
        <v>5.7530000000000001</v>
      </c>
      <c r="C310" s="1427">
        <v>5.7530000000000001</v>
      </c>
      <c r="D310" s="1427">
        <v>6.0075000000000003</v>
      </c>
      <c r="E310" s="1427">
        <v>6.0075000000000003</v>
      </c>
      <c r="F310" s="1427">
        <v>6.0075000000000003</v>
      </c>
      <c r="G310" s="1427">
        <v>5.5590000000000002</v>
      </c>
      <c r="H310" s="1427">
        <v>5.5590000000000002</v>
      </c>
      <c r="I310" s="1427">
        <v>5</v>
      </c>
      <c r="J310" s="1427">
        <v>5</v>
      </c>
      <c r="K310" s="1427">
        <v>5</v>
      </c>
      <c r="L310" s="1427">
        <v>5</v>
      </c>
      <c r="M310" s="1427">
        <v>5</v>
      </c>
    </row>
    <row r="311" spans="1:13">
      <c r="A311" s="1418">
        <v>0.3</v>
      </c>
      <c r="B311" s="1427">
        <v>3.8353000000000002</v>
      </c>
      <c r="C311" s="1427">
        <v>3.8353000000000002</v>
      </c>
      <c r="D311" s="1427">
        <v>4.0049999999999999</v>
      </c>
      <c r="E311" s="1427">
        <v>4.0049999999999999</v>
      </c>
      <c r="F311" s="1427">
        <v>4.0049999999999999</v>
      </c>
      <c r="G311" s="1427">
        <v>3.706</v>
      </c>
      <c r="H311" s="1427">
        <v>3.706</v>
      </c>
      <c r="I311" s="1427">
        <v>3.3332999999999999</v>
      </c>
      <c r="J311" s="1427">
        <v>3.3332999999999999</v>
      </c>
      <c r="K311" s="1427">
        <v>3.3332999999999999</v>
      </c>
      <c r="L311" s="1427">
        <v>3.3332999999999999</v>
      </c>
      <c r="M311" s="1427">
        <v>3.3332999999999999</v>
      </c>
    </row>
    <row r="312" spans="1:13">
      <c r="A312" s="1418">
        <v>0.4</v>
      </c>
      <c r="B312" s="1427">
        <v>2.8765000000000001</v>
      </c>
      <c r="C312" s="1427">
        <v>2.8765000000000001</v>
      </c>
      <c r="D312" s="1427">
        <v>3.0038</v>
      </c>
      <c r="E312" s="1427">
        <v>3.0038</v>
      </c>
      <c r="F312" s="1427">
        <v>3.0038</v>
      </c>
      <c r="G312" s="1427">
        <v>2.7795000000000001</v>
      </c>
      <c r="H312" s="1427">
        <v>2.7795000000000001</v>
      </c>
      <c r="I312" s="1427">
        <v>2.5</v>
      </c>
      <c r="J312" s="1427">
        <v>2.5</v>
      </c>
      <c r="K312" s="1427">
        <v>2.5</v>
      </c>
      <c r="L312" s="1427">
        <v>2.5</v>
      </c>
      <c r="M312" s="1427">
        <v>2.5</v>
      </c>
    </row>
    <row r="313" spans="1:13">
      <c r="A313" s="1418">
        <v>0.5</v>
      </c>
      <c r="B313" s="1427">
        <v>2.3012000000000001</v>
      </c>
      <c r="C313" s="1427">
        <v>2.3012000000000001</v>
      </c>
      <c r="D313" s="1427">
        <v>2.403</v>
      </c>
      <c r="E313" s="1427">
        <v>2.403</v>
      </c>
      <c r="F313" s="1427">
        <v>2.403</v>
      </c>
      <c r="G313" s="1427">
        <v>2.2235999999999998</v>
      </c>
      <c r="H313" s="1427">
        <v>2.2235999999999998</v>
      </c>
      <c r="I313" s="1427">
        <v>2</v>
      </c>
      <c r="J313" s="1427">
        <v>2</v>
      </c>
      <c r="K313" s="1427">
        <v>2</v>
      </c>
      <c r="L313" s="1427">
        <v>2</v>
      </c>
      <c r="M313" s="1427">
        <v>2</v>
      </c>
    </row>
    <row r="314" spans="1:13">
      <c r="A314" s="1418">
        <v>0.6</v>
      </c>
      <c r="B314" s="1427">
        <v>1.9177</v>
      </c>
      <c r="C314" s="1427">
        <v>1.9177</v>
      </c>
      <c r="D314" s="1427">
        <v>2.0024999999999999</v>
      </c>
      <c r="E314" s="1427">
        <v>2.0024999999999999</v>
      </c>
      <c r="F314" s="1427">
        <v>2.0024999999999999</v>
      </c>
      <c r="G314" s="1427">
        <v>1.853</v>
      </c>
      <c r="H314" s="1427">
        <v>1.853</v>
      </c>
      <c r="I314" s="1427">
        <v>1.6667000000000001</v>
      </c>
      <c r="J314" s="1427">
        <v>1.6667000000000001</v>
      </c>
      <c r="K314" s="1427">
        <v>1.6667000000000001</v>
      </c>
      <c r="L314" s="1427">
        <v>1.6667000000000001</v>
      </c>
      <c r="M314" s="1427">
        <v>1.6667000000000001</v>
      </c>
    </row>
    <row r="315" spans="1:13">
      <c r="A315" s="1418">
        <v>0.7</v>
      </c>
      <c r="B315" s="1427">
        <v>1.6436999999999999</v>
      </c>
      <c r="C315" s="1427">
        <v>1.6436999999999999</v>
      </c>
      <c r="D315" s="1427">
        <v>1.7163999999999999</v>
      </c>
      <c r="E315" s="1427">
        <v>1.7163999999999999</v>
      </c>
      <c r="F315" s="1427">
        <v>1.7163999999999999</v>
      </c>
      <c r="G315" s="1427">
        <v>1.5883</v>
      </c>
      <c r="H315" s="1427">
        <v>1.5883</v>
      </c>
      <c r="I315" s="1427">
        <v>1.4286000000000001</v>
      </c>
      <c r="J315" s="1427">
        <v>1.4286000000000001</v>
      </c>
      <c r="K315" s="1427">
        <v>1.4286000000000001</v>
      </c>
      <c r="L315" s="1427">
        <v>1.4286000000000001</v>
      </c>
      <c r="M315" s="1427">
        <v>1.4286000000000001</v>
      </c>
    </row>
    <row r="316" spans="1:13">
      <c r="A316" s="1418">
        <v>0.8</v>
      </c>
      <c r="B316" s="1427">
        <v>1.4382999999999999</v>
      </c>
      <c r="C316" s="1427">
        <v>1.4382999999999999</v>
      </c>
      <c r="D316" s="1427">
        <v>1.5019</v>
      </c>
      <c r="E316" s="1427">
        <v>1.5019</v>
      </c>
      <c r="F316" s="1427">
        <v>1.5019</v>
      </c>
      <c r="G316" s="1427">
        <v>1.3897999999999999</v>
      </c>
      <c r="H316" s="1427">
        <v>1.3897999999999999</v>
      </c>
      <c r="I316" s="1427">
        <v>1.25</v>
      </c>
      <c r="J316" s="1427">
        <v>1.25</v>
      </c>
      <c r="K316" s="1427">
        <v>1.25</v>
      </c>
      <c r="L316" s="1427">
        <v>1.25</v>
      </c>
      <c r="M316" s="1427">
        <v>1.25</v>
      </c>
    </row>
    <row r="317" spans="1:13">
      <c r="A317" s="1418">
        <v>0.9</v>
      </c>
      <c r="B317" s="1427">
        <v>1.2784</v>
      </c>
      <c r="C317" s="1427">
        <v>1.2784</v>
      </c>
      <c r="D317" s="1427">
        <v>1.335</v>
      </c>
      <c r="E317" s="1427">
        <v>1.335</v>
      </c>
      <c r="F317" s="1427">
        <v>1.335</v>
      </c>
      <c r="G317" s="1427">
        <v>1.2353000000000001</v>
      </c>
      <c r="H317" s="1427">
        <v>1.2353000000000001</v>
      </c>
      <c r="I317" s="1427">
        <v>1.1111</v>
      </c>
      <c r="J317" s="1427">
        <v>1.1111</v>
      </c>
      <c r="K317" s="1427">
        <v>1.1111</v>
      </c>
      <c r="L317" s="1427">
        <v>1.1111</v>
      </c>
      <c r="M317" s="1427">
        <v>1.1111</v>
      </c>
    </row>
    <row r="318" spans="1:13">
      <c r="A318" s="1418">
        <v>1</v>
      </c>
      <c r="B318" s="1427">
        <v>1.1506000000000001</v>
      </c>
      <c r="C318" s="1427">
        <v>1.1506000000000001</v>
      </c>
      <c r="D318" s="1427">
        <v>1.2015</v>
      </c>
      <c r="E318" s="1427">
        <v>1.2015</v>
      </c>
      <c r="F318" s="1427">
        <v>1.2015</v>
      </c>
      <c r="G318" s="1427">
        <v>1.1117999999999999</v>
      </c>
      <c r="H318" s="1427">
        <v>1.1117999999999999</v>
      </c>
      <c r="I318" s="1427">
        <v>1</v>
      </c>
      <c r="J318" s="1427">
        <v>1</v>
      </c>
      <c r="K318" s="1427">
        <v>1</v>
      </c>
      <c r="L318" s="1427">
        <v>1</v>
      </c>
      <c r="M318" s="1427">
        <v>1</v>
      </c>
    </row>
    <row r="319" spans="1:13">
      <c r="A319" s="1418">
        <v>1.1000000000000001</v>
      </c>
      <c r="B319" s="1427">
        <v>1.1158999999999999</v>
      </c>
      <c r="C319" s="1427">
        <v>1.1158999999999999</v>
      </c>
      <c r="D319" s="1427">
        <v>1.1440999999999999</v>
      </c>
      <c r="E319" s="1427">
        <v>1.1440999999999999</v>
      </c>
      <c r="F319" s="1427">
        <v>1.1440999999999999</v>
      </c>
      <c r="G319" s="1427">
        <v>1.0492999999999999</v>
      </c>
      <c r="H319" s="1427">
        <v>1.0492999999999999</v>
      </c>
      <c r="I319" s="1427">
        <v>0.93730000000000002</v>
      </c>
      <c r="J319" s="1427">
        <v>0.93730000000000002</v>
      </c>
      <c r="K319" s="1427">
        <v>0.93730000000000002</v>
      </c>
      <c r="L319" s="1427">
        <v>0.93730000000000002</v>
      </c>
      <c r="M319" s="1427">
        <v>0.93730000000000002</v>
      </c>
    </row>
    <row r="320" spans="1:13">
      <c r="A320" s="1418">
        <v>1.2</v>
      </c>
      <c r="B320" s="1427">
        <v>1.0837000000000001</v>
      </c>
      <c r="C320" s="1427">
        <v>1.0837000000000001</v>
      </c>
      <c r="D320" s="1427">
        <v>1.0972999999999999</v>
      </c>
      <c r="E320" s="1427">
        <v>1.0972999999999999</v>
      </c>
      <c r="F320" s="1427">
        <v>1.0972999999999999</v>
      </c>
      <c r="G320" s="1427">
        <v>1</v>
      </c>
      <c r="H320" s="1427">
        <v>1</v>
      </c>
      <c r="I320" s="1427">
        <v>0.88890000000000002</v>
      </c>
      <c r="J320" s="1427">
        <v>0.88890000000000002</v>
      </c>
      <c r="K320" s="1427">
        <v>0.88890000000000002</v>
      </c>
      <c r="L320" s="1427">
        <v>0.88890000000000002</v>
      </c>
      <c r="M320" s="1427">
        <v>0.88890000000000002</v>
      </c>
    </row>
    <row r="321" spans="1:13">
      <c r="A321" s="1418">
        <v>1.3</v>
      </c>
      <c r="B321" s="1427">
        <v>1.0538000000000001</v>
      </c>
      <c r="C321" s="1427">
        <v>1.0538000000000001</v>
      </c>
      <c r="D321" s="1427">
        <v>1.0589999999999999</v>
      </c>
      <c r="E321" s="1427">
        <v>1.0589999999999999</v>
      </c>
      <c r="F321" s="1427">
        <v>1.0589999999999999</v>
      </c>
      <c r="G321" s="1427">
        <v>0.96140000000000003</v>
      </c>
      <c r="H321" s="1427">
        <v>0.96140000000000003</v>
      </c>
      <c r="I321" s="1427">
        <v>0.85209999999999997</v>
      </c>
      <c r="J321" s="1427">
        <v>0.85209999999999997</v>
      </c>
      <c r="K321" s="1427">
        <v>0.85209999999999997</v>
      </c>
      <c r="L321" s="1427">
        <v>0.85209999999999997</v>
      </c>
      <c r="M321" s="1427">
        <v>0.85209999999999997</v>
      </c>
    </row>
    <row r="322" spans="1:13">
      <c r="A322" s="1418">
        <v>1.4</v>
      </c>
      <c r="B322" s="1427">
        <v>1.026</v>
      </c>
      <c r="C322" s="1427">
        <v>1.026</v>
      </c>
      <c r="D322" s="1427">
        <v>1.0271999999999999</v>
      </c>
      <c r="E322" s="1427">
        <v>1.0271999999999999</v>
      </c>
      <c r="F322" s="1427">
        <v>1.0271999999999999</v>
      </c>
      <c r="G322" s="1427">
        <v>0.93079999999999996</v>
      </c>
      <c r="H322" s="1427">
        <v>0.93079999999999996</v>
      </c>
      <c r="I322" s="1427">
        <v>0.82379999999999998</v>
      </c>
      <c r="J322" s="1427">
        <v>0.82379999999999998</v>
      </c>
      <c r="K322" s="1427">
        <v>0.82379999999999998</v>
      </c>
      <c r="L322" s="1427">
        <v>0.82379999999999998</v>
      </c>
      <c r="M322" s="1427">
        <v>0.82379999999999998</v>
      </c>
    </row>
    <row r="323" spans="1:13">
      <c r="A323" s="1418">
        <v>1.5</v>
      </c>
      <c r="B323" s="1427">
        <v>1</v>
      </c>
      <c r="C323" s="1427">
        <v>1</v>
      </c>
      <c r="D323" s="1427">
        <v>1</v>
      </c>
      <c r="E323" s="1427">
        <v>1</v>
      </c>
      <c r="F323" s="1427">
        <v>1</v>
      </c>
      <c r="G323" s="1427">
        <v>0.90559999999999996</v>
      </c>
      <c r="H323" s="1427">
        <v>0.90559999999999996</v>
      </c>
      <c r="I323" s="1427">
        <v>0.80110000000000003</v>
      </c>
      <c r="J323" s="1427">
        <v>0.80110000000000003</v>
      </c>
      <c r="K323" s="1427">
        <v>0.80110000000000003</v>
      </c>
      <c r="L323" s="1427">
        <v>0.80110000000000003</v>
      </c>
      <c r="M323" s="1427">
        <v>0.80110000000000003</v>
      </c>
    </row>
    <row r="324" spans="1:13">
      <c r="A324" s="1418">
        <v>1.6</v>
      </c>
      <c r="B324" s="1427">
        <v>0.97570000000000001</v>
      </c>
      <c r="C324" s="1427">
        <v>0.97570000000000001</v>
      </c>
      <c r="D324" s="1427">
        <v>0.97519999999999996</v>
      </c>
      <c r="E324" s="1427">
        <v>0.97519999999999996</v>
      </c>
      <c r="F324" s="1427">
        <v>0.97519999999999996</v>
      </c>
      <c r="G324" s="1427">
        <v>0.8831</v>
      </c>
      <c r="H324" s="1427">
        <v>0.8831</v>
      </c>
      <c r="I324" s="1427">
        <v>0.78100000000000003</v>
      </c>
      <c r="J324" s="1427">
        <v>0.78100000000000003</v>
      </c>
      <c r="K324" s="1427">
        <v>0.78100000000000003</v>
      </c>
      <c r="L324" s="1427">
        <v>0.78100000000000003</v>
      </c>
      <c r="M324" s="1427">
        <v>0.78100000000000003</v>
      </c>
    </row>
    <row r="325" spans="1:13">
      <c r="A325" s="1418">
        <v>1.7</v>
      </c>
      <c r="B325" s="1427">
        <v>0.95289999999999997</v>
      </c>
      <c r="C325" s="1427">
        <v>0.95289999999999997</v>
      </c>
      <c r="D325" s="1427">
        <v>0.95189999999999997</v>
      </c>
      <c r="E325" s="1427">
        <v>0.95189999999999997</v>
      </c>
      <c r="F325" s="1427">
        <v>0.95189999999999997</v>
      </c>
      <c r="G325" s="1427">
        <v>0.86180000000000001</v>
      </c>
      <c r="H325" s="1427">
        <v>0.86180000000000001</v>
      </c>
      <c r="I325" s="1427">
        <v>0.7621</v>
      </c>
      <c r="J325" s="1427">
        <v>0.7621</v>
      </c>
      <c r="K325" s="1427">
        <v>0.7621</v>
      </c>
      <c r="L325" s="1427">
        <v>0.7621</v>
      </c>
      <c r="M325" s="1427">
        <v>0.7621</v>
      </c>
    </row>
    <row r="326" spans="1:13">
      <c r="A326" s="1418">
        <v>1.8</v>
      </c>
      <c r="B326" s="1427">
        <v>0.93149999999999999</v>
      </c>
      <c r="C326" s="1427">
        <v>0.93149999999999999</v>
      </c>
      <c r="D326" s="1427">
        <v>0.93</v>
      </c>
      <c r="E326" s="1427">
        <v>0.93</v>
      </c>
      <c r="F326" s="1427">
        <v>0.93</v>
      </c>
      <c r="G326" s="1427">
        <v>0.84179999999999999</v>
      </c>
      <c r="H326" s="1427">
        <v>0.84179999999999999</v>
      </c>
      <c r="I326" s="1427">
        <v>0.74419999999999997</v>
      </c>
      <c r="J326" s="1427">
        <v>0.74419999999999997</v>
      </c>
      <c r="K326" s="1427">
        <v>0.74419999999999997</v>
      </c>
      <c r="L326" s="1427">
        <v>0.74419999999999997</v>
      </c>
      <c r="M326" s="1427">
        <v>0.74419999999999997</v>
      </c>
    </row>
    <row r="327" spans="1:13">
      <c r="A327" s="1418">
        <v>1.9</v>
      </c>
      <c r="B327" s="1427">
        <v>0.91139999999999999</v>
      </c>
      <c r="C327" s="1427">
        <v>0.91139999999999999</v>
      </c>
      <c r="D327" s="1427">
        <v>0.90939999999999999</v>
      </c>
      <c r="E327" s="1427">
        <v>0.90939999999999999</v>
      </c>
      <c r="F327" s="1427">
        <v>0.90939999999999999</v>
      </c>
      <c r="G327" s="1427">
        <v>0.82289999999999996</v>
      </c>
      <c r="H327" s="1427">
        <v>0.82289999999999996</v>
      </c>
      <c r="I327" s="1427">
        <v>0.72740000000000005</v>
      </c>
      <c r="J327" s="1427">
        <v>0.72740000000000005</v>
      </c>
      <c r="K327" s="1427">
        <v>0.72740000000000005</v>
      </c>
      <c r="L327" s="1427">
        <v>0.72740000000000005</v>
      </c>
      <c r="M327" s="1427">
        <v>0.72740000000000005</v>
      </c>
    </row>
    <row r="328" spans="1:13">
      <c r="A328" s="1418">
        <v>2</v>
      </c>
      <c r="B328" s="1427">
        <v>0.89270000000000005</v>
      </c>
      <c r="C328" s="1427">
        <v>0.89270000000000005</v>
      </c>
      <c r="D328" s="1427">
        <v>0.8901</v>
      </c>
      <c r="E328" s="1427">
        <v>0.8901</v>
      </c>
      <c r="F328" s="1427">
        <v>0.8901</v>
      </c>
      <c r="G328" s="1427">
        <v>0.80530000000000002</v>
      </c>
      <c r="H328" s="1427">
        <v>0.80530000000000002</v>
      </c>
      <c r="I328" s="1427">
        <v>0.71160000000000001</v>
      </c>
      <c r="J328" s="1427">
        <v>0.71160000000000001</v>
      </c>
      <c r="K328" s="1427">
        <v>0.71160000000000001</v>
      </c>
      <c r="L328" s="1427">
        <v>0.71160000000000001</v>
      </c>
      <c r="M328" s="1427">
        <v>0.71160000000000001</v>
      </c>
    </row>
    <row r="329" spans="1:13">
      <c r="A329" s="1441">
        <v>2.1</v>
      </c>
      <c r="B329" s="1427">
        <v>0.87519999999999998</v>
      </c>
      <c r="C329" s="1427">
        <v>0.87519999999999998</v>
      </c>
      <c r="D329" s="1427">
        <v>0.872</v>
      </c>
      <c r="E329" s="1427">
        <v>0.872</v>
      </c>
      <c r="F329" s="1427">
        <v>0.872</v>
      </c>
      <c r="G329" s="1427">
        <v>0.78869999999999996</v>
      </c>
      <c r="H329" s="1427">
        <v>0.78869999999999996</v>
      </c>
      <c r="I329" s="1427">
        <v>0.69669999999999999</v>
      </c>
      <c r="J329" s="1427">
        <v>0.69669999999999999</v>
      </c>
      <c r="K329" s="1427">
        <v>0.69669999999999999</v>
      </c>
      <c r="L329" s="1427">
        <v>0.69669999999999999</v>
      </c>
      <c r="M329" s="1427">
        <v>0.69669999999999999</v>
      </c>
    </row>
    <row r="330" spans="1:13">
      <c r="A330" s="1441">
        <v>2.2000000000000002</v>
      </c>
      <c r="B330" s="1427">
        <v>0.85880000000000001</v>
      </c>
      <c r="C330" s="1427">
        <v>0.85880000000000001</v>
      </c>
      <c r="D330" s="1427">
        <v>0.85499999999999998</v>
      </c>
      <c r="E330" s="1427">
        <v>0.85499999999999998</v>
      </c>
      <c r="F330" s="1427">
        <v>0.85499999999999998</v>
      </c>
      <c r="G330" s="1427">
        <v>0.77300000000000002</v>
      </c>
      <c r="H330" s="1427">
        <v>0.77300000000000002</v>
      </c>
      <c r="I330" s="1427">
        <v>0.68269999999999997</v>
      </c>
      <c r="J330" s="1427">
        <v>0.68269999999999997</v>
      </c>
      <c r="K330" s="1427">
        <v>0.68269999999999997</v>
      </c>
      <c r="L330" s="1427">
        <v>0.68269999999999997</v>
      </c>
      <c r="M330" s="1427">
        <v>0.68269999999999997</v>
      </c>
    </row>
    <row r="331" spans="1:13">
      <c r="A331" s="1441">
        <v>2.2999999999999998</v>
      </c>
      <c r="B331" s="1427">
        <v>0.84360000000000002</v>
      </c>
      <c r="C331" s="1427">
        <v>0.84360000000000002</v>
      </c>
      <c r="D331" s="1427">
        <v>0.83899999999999997</v>
      </c>
      <c r="E331" s="1427">
        <v>0.83899999999999997</v>
      </c>
      <c r="F331" s="1427">
        <v>0.83899999999999997</v>
      </c>
      <c r="G331" s="1427">
        <v>0.75839999999999996</v>
      </c>
      <c r="H331" s="1427">
        <v>0.75839999999999996</v>
      </c>
      <c r="I331" s="1427">
        <v>0.66949999999999998</v>
      </c>
      <c r="J331" s="1427">
        <v>0.66949999999999998</v>
      </c>
      <c r="K331" s="1427">
        <v>0.66949999999999998</v>
      </c>
      <c r="L331" s="1427">
        <v>0.66949999999999998</v>
      </c>
      <c r="M331" s="1427">
        <v>0.66949999999999998</v>
      </c>
    </row>
    <row r="332" spans="1:13">
      <c r="A332" s="1441">
        <v>2.4</v>
      </c>
      <c r="B332" s="1427">
        <v>0.82940000000000003</v>
      </c>
      <c r="C332" s="1427">
        <v>0.82940000000000003</v>
      </c>
      <c r="D332" s="1427">
        <v>0.82410000000000005</v>
      </c>
      <c r="E332" s="1427">
        <v>0.82410000000000005</v>
      </c>
      <c r="F332" s="1427">
        <v>0.82410000000000005</v>
      </c>
      <c r="G332" s="1427">
        <v>0.74460000000000004</v>
      </c>
      <c r="H332" s="1427">
        <v>0.74460000000000004</v>
      </c>
      <c r="I332" s="1427">
        <v>0.65710000000000002</v>
      </c>
      <c r="J332" s="1427">
        <v>0.65710000000000002</v>
      </c>
      <c r="K332" s="1427">
        <v>0.65710000000000002</v>
      </c>
      <c r="L332" s="1427">
        <v>0.65710000000000002</v>
      </c>
      <c r="M332" s="1427">
        <v>0.65710000000000002</v>
      </c>
    </row>
    <row r="333" spans="1:13">
      <c r="A333" s="1441">
        <v>2.5</v>
      </c>
      <c r="B333" s="1427">
        <v>0.81620000000000004</v>
      </c>
      <c r="C333" s="1427">
        <v>0.81620000000000004</v>
      </c>
      <c r="D333" s="1427">
        <v>0.81020000000000003</v>
      </c>
      <c r="E333" s="1427">
        <v>0.81020000000000003</v>
      </c>
      <c r="F333" s="1427">
        <v>0.81020000000000003</v>
      </c>
      <c r="G333" s="1427">
        <v>0.73180000000000001</v>
      </c>
      <c r="H333" s="1427">
        <v>0.73180000000000001</v>
      </c>
      <c r="I333" s="1427">
        <v>0.64549999999999996</v>
      </c>
      <c r="J333" s="1427">
        <v>0.64549999999999996</v>
      </c>
      <c r="K333" s="1427">
        <v>0.64549999999999996</v>
      </c>
      <c r="L333" s="1427">
        <v>0.64549999999999996</v>
      </c>
      <c r="M333" s="1427">
        <v>0.64549999999999996</v>
      </c>
    </row>
    <row r="334" spans="1:13">
      <c r="A334" s="1441">
        <v>2.6</v>
      </c>
      <c r="B334" s="1427">
        <v>0.80389999999999995</v>
      </c>
      <c r="C334" s="1427">
        <v>0.80389999999999995</v>
      </c>
      <c r="D334" s="1427">
        <v>0.79710000000000003</v>
      </c>
      <c r="E334" s="1427">
        <v>0.79710000000000003</v>
      </c>
      <c r="F334" s="1427">
        <v>0.79710000000000003</v>
      </c>
      <c r="G334" s="1427">
        <v>0.71970000000000001</v>
      </c>
      <c r="H334" s="1427">
        <v>0.71970000000000001</v>
      </c>
      <c r="I334" s="1427">
        <v>0.63460000000000005</v>
      </c>
      <c r="J334" s="1427">
        <v>0.63460000000000005</v>
      </c>
      <c r="K334" s="1427">
        <v>0.63460000000000005</v>
      </c>
      <c r="L334" s="1427">
        <v>0.63460000000000005</v>
      </c>
      <c r="M334" s="1427">
        <v>0.63460000000000005</v>
      </c>
    </row>
    <row r="335" spans="1:13">
      <c r="A335" s="1441">
        <v>2.7</v>
      </c>
      <c r="B335" s="1427">
        <v>0.79249999999999998</v>
      </c>
      <c r="C335" s="1427">
        <v>0.79249999999999998</v>
      </c>
      <c r="D335" s="1427">
        <v>0.78490000000000004</v>
      </c>
      <c r="E335" s="1427">
        <v>0.78490000000000004</v>
      </c>
      <c r="F335" s="1427">
        <v>0.78490000000000004</v>
      </c>
      <c r="G335" s="1427">
        <v>0.70840000000000003</v>
      </c>
      <c r="H335" s="1427">
        <v>0.70840000000000003</v>
      </c>
      <c r="I335" s="1427">
        <v>0.62439999999999996</v>
      </c>
      <c r="J335" s="1427">
        <v>0.62439999999999996</v>
      </c>
      <c r="K335" s="1427">
        <v>0.62439999999999996</v>
      </c>
      <c r="L335" s="1427">
        <v>0.62439999999999996</v>
      </c>
      <c r="M335" s="1427">
        <v>0.62439999999999996</v>
      </c>
    </row>
    <row r="336" spans="1:13">
      <c r="A336" s="1441">
        <v>2.8</v>
      </c>
      <c r="B336" s="1427">
        <v>0.78190000000000004</v>
      </c>
      <c r="C336" s="1427">
        <v>0.78190000000000004</v>
      </c>
      <c r="D336" s="1427">
        <v>0.77359999999999995</v>
      </c>
      <c r="E336" s="1427">
        <v>0.77359999999999995</v>
      </c>
      <c r="F336" s="1427">
        <v>0.77359999999999995</v>
      </c>
      <c r="G336" s="1427">
        <v>0.69789999999999996</v>
      </c>
      <c r="H336" s="1427">
        <v>0.69789999999999996</v>
      </c>
      <c r="I336" s="1427">
        <v>0.61480000000000001</v>
      </c>
      <c r="J336" s="1427">
        <v>0.61480000000000001</v>
      </c>
      <c r="K336" s="1427">
        <v>0.61480000000000001</v>
      </c>
      <c r="L336" s="1427">
        <v>0.61480000000000001</v>
      </c>
      <c r="M336" s="1427">
        <v>0.61480000000000001</v>
      </c>
    </row>
    <row r="337" spans="1:13">
      <c r="A337" s="1441">
        <v>2.9</v>
      </c>
      <c r="B337" s="1427">
        <v>0.77210000000000001</v>
      </c>
      <c r="C337" s="1427">
        <v>0.77210000000000001</v>
      </c>
      <c r="D337" s="1427">
        <v>0.76300000000000001</v>
      </c>
      <c r="E337" s="1427">
        <v>0.76300000000000001</v>
      </c>
      <c r="F337" s="1427">
        <v>0.76300000000000001</v>
      </c>
      <c r="G337" s="1427">
        <v>0.68799999999999994</v>
      </c>
      <c r="H337" s="1427">
        <v>0.68799999999999994</v>
      </c>
      <c r="I337" s="1427">
        <v>0.60589999999999999</v>
      </c>
      <c r="J337" s="1427">
        <v>0.60589999999999999</v>
      </c>
      <c r="K337" s="1427">
        <v>0.60589999999999999</v>
      </c>
      <c r="L337" s="1427">
        <v>0.60589999999999999</v>
      </c>
      <c r="M337" s="1427">
        <v>0.60589999999999999</v>
      </c>
    </row>
    <row r="338" spans="1:13">
      <c r="A338" s="1441">
        <v>3</v>
      </c>
      <c r="B338" s="1427">
        <v>0.7631</v>
      </c>
      <c r="C338" s="1427">
        <v>0.7631</v>
      </c>
      <c r="D338" s="1427">
        <v>0.75309999999999999</v>
      </c>
      <c r="E338" s="1427">
        <v>0.75309999999999999</v>
      </c>
      <c r="F338" s="1427">
        <v>0.75309999999999999</v>
      </c>
      <c r="G338" s="1427">
        <v>0.67879999999999996</v>
      </c>
      <c r="H338" s="1427">
        <v>0.67879999999999996</v>
      </c>
      <c r="I338" s="1427">
        <v>0.59750000000000003</v>
      </c>
      <c r="J338" s="1427">
        <v>0.59750000000000003</v>
      </c>
      <c r="K338" s="1427">
        <v>0.59750000000000003</v>
      </c>
      <c r="L338" s="1427">
        <v>0.59750000000000003</v>
      </c>
      <c r="M338" s="1427">
        <v>0.59750000000000003</v>
      </c>
    </row>
    <row r="339" spans="1:13">
      <c r="A339" s="1441">
        <v>3.1</v>
      </c>
      <c r="B339" s="1427">
        <v>0.75470000000000004</v>
      </c>
      <c r="C339" s="1427">
        <v>0.75470000000000004</v>
      </c>
      <c r="D339" s="1427">
        <v>0.74399999999999999</v>
      </c>
      <c r="E339" s="1427">
        <v>0.74399999999999999</v>
      </c>
      <c r="F339" s="1427">
        <v>0.74399999999999999</v>
      </c>
      <c r="G339" s="1427">
        <v>0.67020000000000002</v>
      </c>
      <c r="H339" s="1427">
        <v>0.67020000000000002</v>
      </c>
      <c r="I339" s="1427">
        <v>0.5897</v>
      </c>
      <c r="J339" s="1427">
        <v>0.5897</v>
      </c>
      <c r="K339" s="1427">
        <v>0.5897</v>
      </c>
      <c r="L339" s="1427">
        <v>0.5897</v>
      </c>
      <c r="M339" s="1427">
        <v>0.5897</v>
      </c>
    </row>
    <row r="340" spans="1:13">
      <c r="A340" s="1441">
        <v>3.2</v>
      </c>
      <c r="B340" s="1427">
        <v>0.747</v>
      </c>
      <c r="C340" s="1427">
        <v>0.747</v>
      </c>
      <c r="D340" s="1427">
        <v>0.73540000000000005</v>
      </c>
      <c r="E340" s="1427">
        <v>0.73540000000000005</v>
      </c>
      <c r="F340" s="1427">
        <v>0.73540000000000005</v>
      </c>
      <c r="G340" s="1427">
        <v>0.66220000000000001</v>
      </c>
      <c r="H340" s="1427">
        <v>0.66220000000000001</v>
      </c>
      <c r="I340" s="1427">
        <v>0.58230000000000004</v>
      </c>
      <c r="J340" s="1427">
        <v>0.58230000000000004</v>
      </c>
      <c r="K340" s="1427">
        <v>0.58230000000000004</v>
      </c>
      <c r="L340" s="1427">
        <v>0.58230000000000004</v>
      </c>
      <c r="M340" s="1427">
        <v>0.58230000000000004</v>
      </c>
    </row>
    <row r="341" spans="1:13">
      <c r="A341" s="1441">
        <v>3.3</v>
      </c>
      <c r="B341" s="1427">
        <v>0.7399</v>
      </c>
      <c r="C341" s="1427">
        <v>0.7399</v>
      </c>
      <c r="D341" s="1427">
        <v>0.72750000000000004</v>
      </c>
      <c r="E341" s="1427">
        <v>0.72750000000000004</v>
      </c>
      <c r="F341" s="1427">
        <v>0.72750000000000004</v>
      </c>
      <c r="G341" s="1427">
        <v>0.65480000000000005</v>
      </c>
      <c r="H341" s="1427">
        <v>0.65480000000000005</v>
      </c>
      <c r="I341" s="1427">
        <v>0.57540000000000002</v>
      </c>
      <c r="J341" s="1427">
        <v>0.57540000000000002</v>
      </c>
      <c r="K341" s="1427">
        <v>0.57540000000000002</v>
      </c>
      <c r="L341" s="1427">
        <v>0.57540000000000002</v>
      </c>
      <c r="M341" s="1427">
        <v>0.57540000000000002</v>
      </c>
    </row>
    <row r="342" spans="1:13">
      <c r="A342" s="1441">
        <v>3.4</v>
      </c>
      <c r="B342" s="1427">
        <v>0.73340000000000005</v>
      </c>
      <c r="C342" s="1427">
        <v>0.73340000000000005</v>
      </c>
      <c r="D342" s="1427">
        <v>0.72009999999999996</v>
      </c>
      <c r="E342" s="1427">
        <v>0.72009999999999996</v>
      </c>
      <c r="F342" s="1427">
        <v>0.72009999999999996</v>
      </c>
      <c r="G342" s="1427">
        <v>0.64780000000000004</v>
      </c>
      <c r="H342" s="1427">
        <v>0.64780000000000004</v>
      </c>
      <c r="I342" s="1427">
        <v>0.56899999999999995</v>
      </c>
      <c r="J342" s="1427">
        <v>0.56899999999999995</v>
      </c>
      <c r="K342" s="1427">
        <v>0.56899999999999995</v>
      </c>
      <c r="L342" s="1427">
        <v>0.56899999999999995</v>
      </c>
      <c r="M342" s="1427">
        <v>0.56899999999999995</v>
      </c>
    </row>
    <row r="343" spans="1:13">
      <c r="A343" s="1441">
        <v>3.5</v>
      </c>
      <c r="B343" s="1427">
        <v>0.72740000000000005</v>
      </c>
      <c r="C343" s="1427">
        <v>0.72740000000000005</v>
      </c>
      <c r="D343" s="1427">
        <v>0.71330000000000005</v>
      </c>
      <c r="E343" s="1427">
        <v>0.71330000000000005</v>
      </c>
      <c r="F343" s="1427">
        <v>0.71330000000000005</v>
      </c>
      <c r="G343" s="1427">
        <v>0.64129999999999998</v>
      </c>
      <c r="H343" s="1427">
        <v>0.64129999999999998</v>
      </c>
      <c r="I343" s="1427">
        <v>0.56310000000000004</v>
      </c>
      <c r="J343" s="1427">
        <v>0.56310000000000004</v>
      </c>
      <c r="K343" s="1427">
        <v>0.56310000000000004</v>
      </c>
      <c r="L343" s="1427">
        <v>0.56310000000000004</v>
      </c>
      <c r="M343" s="1427">
        <v>0.56310000000000004</v>
      </c>
    </row>
    <row r="344" spans="1:13">
      <c r="A344" s="1441">
        <v>3.6</v>
      </c>
      <c r="B344" s="1427">
        <v>0.72189999999999999</v>
      </c>
      <c r="C344" s="1427">
        <v>0.72189999999999999</v>
      </c>
      <c r="D344" s="1427">
        <v>0.70699999999999996</v>
      </c>
      <c r="E344" s="1427">
        <v>0.70699999999999996</v>
      </c>
      <c r="F344" s="1427">
        <v>0.70699999999999996</v>
      </c>
      <c r="G344" s="1427">
        <v>0.63529999999999998</v>
      </c>
      <c r="H344" s="1427">
        <v>0.63529999999999998</v>
      </c>
      <c r="I344" s="1427">
        <v>0.5575</v>
      </c>
      <c r="J344" s="1427">
        <v>0.5575</v>
      </c>
      <c r="K344" s="1427">
        <v>0.5575</v>
      </c>
      <c r="L344" s="1427">
        <v>0.5575</v>
      </c>
      <c r="M344" s="1427">
        <v>0.5575</v>
      </c>
    </row>
    <row r="345" spans="1:13">
      <c r="A345" s="1441">
        <v>3.7</v>
      </c>
      <c r="B345" s="1427">
        <v>0.71679999999999999</v>
      </c>
      <c r="C345" s="1427">
        <v>0.71679999999999999</v>
      </c>
      <c r="D345" s="1427">
        <v>0.70109999999999995</v>
      </c>
      <c r="E345" s="1427">
        <v>0.70109999999999995</v>
      </c>
      <c r="F345" s="1427">
        <v>0.70109999999999995</v>
      </c>
      <c r="G345" s="1427">
        <v>0.62970000000000004</v>
      </c>
      <c r="H345" s="1427">
        <v>0.62970000000000004</v>
      </c>
      <c r="I345" s="1427">
        <v>0.55230000000000001</v>
      </c>
      <c r="J345" s="1427">
        <v>0.55230000000000001</v>
      </c>
      <c r="K345" s="1427">
        <v>0.55230000000000001</v>
      </c>
      <c r="L345" s="1427">
        <v>0.55230000000000001</v>
      </c>
      <c r="M345" s="1427">
        <v>0.55230000000000001</v>
      </c>
    </row>
    <row r="346" spans="1:13">
      <c r="A346" s="1441">
        <v>3.8</v>
      </c>
      <c r="B346" s="1427">
        <v>0.71220000000000006</v>
      </c>
      <c r="C346" s="1427">
        <v>0.71220000000000006</v>
      </c>
      <c r="D346" s="1427">
        <v>0.6956</v>
      </c>
      <c r="E346" s="1427">
        <v>0.6956</v>
      </c>
      <c r="F346" s="1427">
        <v>0.6956</v>
      </c>
      <c r="G346" s="1427">
        <v>0.62439999999999996</v>
      </c>
      <c r="H346" s="1427">
        <v>0.62439999999999996</v>
      </c>
      <c r="I346" s="1427">
        <v>0.5474</v>
      </c>
      <c r="J346" s="1427">
        <v>0.5474</v>
      </c>
      <c r="K346" s="1427">
        <v>0.5474</v>
      </c>
      <c r="L346" s="1427">
        <v>0.5474</v>
      </c>
      <c r="M346" s="1427">
        <v>0.5474</v>
      </c>
    </row>
    <row r="347" spans="1:13">
      <c r="A347" s="1441">
        <v>3.9</v>
      </c>
      <c r="B347" s="1427">
        <v>0.70799999999999996</v>
      </c>
      <c r="C347" s="1427">
        <v>0.70799999999999996</v>
      </c>
      <c r="D347" s="1427">
        <v>0.69059999999999999</v>
      </c>
      <c r="E347" s="1427">
        <v>0.69059999999999999</v>
      </c>
      <c r="F347" s="1427">
        <v>0.69059999999999999</v>
      </c>
      <c r="G347" s="1427">
        <v>0.61950000000000005</v>
      </c>
      <c r="H347" s="1427">
        <v>0.61950000000000005</v>
      </c>
      <c r="I347" s="1427">
        <v>0.54279999999999995</v>
      </c>
      <c r="J347" s="1427">
        <v>0.54279999999999995</v>
      </c>
      <c r="K347" s="1427">
        <v>0.54279999999999995</v>
      </c>
      <c r="L347" s="1427">
        <v>0.54279999999999995</v>
      </c>
      <c r="M347" s="1427">
        <v>0.54279999999999995</v>
      </c>
    </row>
    <row r="348" spans="1:13">
      <c r="A348" s="1441">
        <v>4</v>
      </c>
      <c r="B348" s="1427">
        <v>0.70409999999999995</v>
      </c>
      <c r="C348" s="1427">
        <v>0.70409999999999995</v>
      </c>
      <c r="D348" s="1427">
        <v>0.68589999999999995</v>
      </c>
      <c r="E348" s="1427">
        <v>0.68589999999999995</v>
      </c>
      <c r="F348" s="1427">
        <v>0.68589999999999995</v>
      </c>
      <c r="G348" s="1427">
        <v>0.61499999999999999</v>
      </c>
      <c r="H348" s="1427">
        <v>0.61499999999999999</v>
      </c>
      <c r="I348" s="1427">
        <v>0.53859999999999997</v>
      </c>
      <c r="J348" s="1427">
        <v>0.53859999999999997</v>
      </c>
      <c r="K348" s="1427">
        <v>0.53859999999999997</v>
      </c>
      <c r="L348" s="1427">
        <v>0.53859999999999997</v>
      </c>
      <c r="M348" s="1427">
        <v>0.53859999999999997</v>
      </c>
    </row>
    <row r="349" spans="1:13">
      <c r="A349" s="1441">
        <v>4.0999999999999996</v>
      </c>
      <c r="B349" s="1427">
        <v>0.7006</v>
      </c>
      <c r="C349" s="1427">
        <v>0.7006</v>
      </c>
      <c r="D349" s="1427">
        <v>0.68159999999999998</v>
      </c>
      <c r="E349" s="1427">
        <v>0.68159999999999998</v>
      </c>
      <c r="F349" s="1427">
        <v>0.68159999999999998</v>
      </c>
      <c r="G349" s="1427">
        <v>0.61080000000000001</v>
      </c>
      <c r="H349" s="1427">
        <v>0.61080000000000001</v>
      </c>
      <c r="I349" s="1427">
        <v>0.53459999999999996</v>
      </c>
      <c r="J349" s="1427">
        <v>0.53459999999999996</v>
      </c>
      <c r="K349" s="1427">
        <v>0.53459999999999996</v>
      </c>
      <c r="L349" s="1427">
        <v>0.53459999999999996</v>
      </c>
      <c r="M349" s="1427">
        <v>0.53459999999999996</v>
      </c>
    </row>
    <row r="350" spans="1:13">
      <c r="A350" s="1441">
        <v>4.2</v>
      </c>
      <c r="B350" s="1427">
        <v>0.69740000000000002</v>
      </c>
      <c r="C350" s="1427">
        <v>0.69740000000000002</v>
      </c>
      <c r="D350" s="1427">
        <v>0.67759999999999998</v>
      </c>
      <c r="E350" s="1427">
        <v>0.67759999999999998</v>
      </c>
      <c r="F350" s="1427">
        <v>0.67759999999999998</v>
      </c>
      <c r="G350" s="1427">
        <v>0.60699999999999998</v>
      </c>
      <c r="H350" s="1427">
        <v>0.60699999999999998</v>
      </c>
      <c r="I350" s="1427">
        <v>0.53090000000000004</v>
      </c>
      <c r="J350" s="1427">
        <v>0.53090000000000004</v>
      </c>
      <c r="K350" s="1427">
        <v>0.53090000000000004</v>
      </c>
      <c r="L350" s="1427">
        <v>0.53090000000000004</v>
      </c>
      <c r="M350" s="1427">
        <v>0.53090000000000004</v>
      </c>
    </row>
    <row r="351" spans="1:13">
      <c r="A351" s="1441">
        <v>4.3</v>
      </c>
      <c r="B351" s="1427">
        <v>0.69450000000000001</v>
      </c>
      <c r="C351" s="1427">
        <v>0.69450000000000001</v>
      </c>
      <c r="D351" s="1427">
        <v>0.67390000000000005</v>
      </c>
      <c r="E351" s="1427">
        <v>0.67390000000000005</v>
      </c>
      <c r="F351" s="1427">
        <v>0.67390000000000005</v>
      </c>
      <c r="G351" s="1427">
        <v>0.60329999999999995</v>
      </c>
      <c r="H351" s="1427">
        <v>0.60329999999999995</v>
      </c>
      <c r="I351" s="1427">
        <v>0.52739999999999998</v>
      </c>
      <c r="J351" s="1427">
        <v>0.52739999999999998</v>
      </c>
      <c r="K351" s="1427">
        <v>0.52739999999999998</v>
      </c>
      <c r="L351" s="1427">
        <v>0.52739999999999998</v>
      </c>
      <c r="M351" s="1427">
        <v>0.52739999999999998</v>
      </c>
    </row>
    <row r="352" spans="1:13">
      <c r="A352" s="1441">
        <v>4.4000000000000004</v>
      </c>
      <c r="B352" s="1427">
        <v>0.69179999999999997</v>
      </c>
      <c r="C352" s="1427">
        <v>0.69179999999999997</v>
      </c>
      <c r="D352" s="1427">
        <v>0.67049999999999998</v>
      </c>
      <c r="E352" s="1427">
        <v>0.67049999999999998</v>
      </c>
      <c r="F352" s="1427">
        <v>0.67049999999999998</v>
      </c>
      <c r="G352" s="1427">
        <v>0.59989999999999999</v>
      </c>
      <c r="H352" s="1427">
        <v>0.59989999999999999</v>
      </c>
      <c r="I352" s="1427">
        <v>0.5242</v>
      </c>
      <c r="J352" s="1427">
        <v>0.5242</v>
      </c>
      <c r="K352" s="1427">
        <v>0.5242</v>
      </c>
      <c r="L352" s="1427">
        <v>0.5242</v>
      </c>
      <c r="M352" s="1427">
        <v>0.5242</v>
      </c>
    </row>
    <row r="353" spans="1:13">
      <c r="A353" s="1441">
        <v>4.5</v>
      </c>
      <c r="B353" s="1427">
        <v>0.68940000000000001</v>
      </c>
      <c r="C353" s="1427">
        <v>0.68940000000000001</v>
      </c>
      <c r="D353" s="1427">
        <v>0.6673</v>
      </c>
      <c r="E353" s="1427">
        <v>0.6673</v>
      </c>
      <c r="F353" s="1427">
        <v>0.6673</v>
      </c>
      <c r="G353" s="1427">
        <v>0.59670000000000001</v>
      </c>
      <c r="H353" s="1427">
        <v>0.59670000000000001</v>
      </c>
      <c r="I353" s="1427">
        <v>0.52110000000000001</v>
      </c>
      <c r="J353" s="1427">
        <v>0.52110000000000001</v>
      </c>
      <c r="K353" s="1427">
        <v>0.52110000000000001</v>
      </c>
      <c r="L353" s="1427">
        <v>0.52110000000000001</v>
      </c>
      <c r="M353" s="1427">
        <v>0.52110000000000001</v>
      </c>
    </row>
    <row r="354" spans="1:13">
      <c r="A354" s="1441">
        <v>4.5999999999999996</v>
      </c>
      <c r="B354" s="1427">
        <v>0.68720000000000003</v>
      </c>
      <c r="C354" s="1427">
        <v>0.68720000000000003</v>
      </c>
      <c r="D354" s="1427">
        <v>0.6643</v>
      </c>
      <c r="E354" s="1427">
        <v>0.6643</v>
      </c>
      <c r="F354" s="1427">
        <v>0.6643</v>
      </c>
      <c r="G354" s="1427">
        <v>0.59379999999999999</v>
      </c>
      <c r="H354" s="1427">
        <v>0.59379999999999999</v>
      </c>
      <c r="I354" s="1427">
        <v>0.51819999999999999</v>
      </c>
      <c r="J354" s="1427">
        <v>0.51819999999999999</v>
      </c>
      <c r="K354" s="1427">
        <v>0.51819999999999999</v>
      </c>
      <c r="L354" s="1427">
        <v>0.51819999999999999</v>
      </c>
      <c r="M354" s="1427">
        <v>0.51819999999999999</v>
      </c>
    </row>
    <row r="355" spans="1:13">
      <c r="A355" s="1441">
        <v>4.7</v>
      </c>
      <c r="B355" s="1427">
        <v>0.68520000000000003</v>
      </c>
      <c r="C355" s="1427">
        <v>0.68520000000000003</v>
      </c>
      <c r="D355" s="1427">
        <v>0.66149999999999998</v>
      </c>
      <c r="E355" s="1427">
        <v>0.66149999999999998</v>
      </c>
      <c r="F355" s="1427">
        <v>0.66149999999999998</v>
      </c>
      <c r="G355" s="1427">
        <v>0.59109999999999996</v>
      </c>
      <c r="H355" s="1427">
        <v>0.59109999999999996</v>
      </c>
      <c r="I355" s="1427">
        <v>0.51559999999999995</v>
      </c>
      <c r="J355" s="1427">
        <v>0.51559999999999995</v>
      </c>
      <c r="K355" s="1427">
        <v>0.51559999999999995</v>
      </c>
      <c r="L355" s="1427">
        <v>0.51559999999999995</v>
      </c>
      <c r="M355" s="1427">
        <v>0.51559999999999995</v>
      </c>
    </row>
    <row r="356" spans="1:13">
      <c r="A356" s="1441">
        <v>4.8</v>
      </c>
      <c r="B356" s="1427">
        <v>0.68340000000000001</v>
      </c>
      <c r="C356" s="1427">
        <v>0.68340000000000001</v>
      </c>
      <c r="D356" s="1427">
        <v>0.65900000000000003</v>
      </c>
      <c r="E356" s="1427">
        <v>0.65900000000000003</v>
      </c>
      <c r="F356" s="1427">
        <v>0.65900000000000003</v>
      </c>
      <c r="G356" s="1427">
        <v>0.58850000000000002</v>
      </c>
      <c r="H356" s="1427">
        <v>0.58850000000000002</v>
      </c>
      <c r="I356" s="1427">
        <v>0.51300000000000001</v>
      </c>
      <c r="J356" s="1427">
        <v>0.51300000000000001</v>
      </c>
      <c r="K356" s="1427">
        <v>0.51300000000000001</v>
      </c>
      <c r="L356" s="1427">
        <v>0.51300000000000001</v>
      </c>
      <c r="M356" s="1427">
        <v>0.51300000000000001</v>
      </c>
    </row>
    <row r="357" spans="1:13">
      <c r="A357" s="1441">
        <v>4.9000000000000004</v>
      </c>
      <c r="B357" s="1427">
        <v>0.68179999999999996</v>
      </c>
      <c r="C357" s="1427">
        <v>0.68179999999999996</v>
      </c>
      <c r="D357" s="1427">
        <v>0.65659999999999996</v>
      </c>
      <c r="E357" s="1427">
        <v>0.65659999999999996</v>
      </c>
      <c r="F357" s="1427">
        <v>0.65659999999999996</v>
      </c>
      <c r="G357" s="1427">
        <v>0.58599999999999997</v>
      </c>
      <c r="H357" s="1427">
        <v>0.58599999999999997</v>
      </c>
      <c r="I357" s="1427">
        <v>0.51060000000000005</v>
      </c>
      <c r="J357" s="1427">
        <v>0.51060000000000005</v>
      </c>
      <c r="K357" s="1427">
        <v>0.51060000000000005</v>
      </c>
      <c r="L357" s="1427">
        <v>0.51060000000000005</v>
      </c>
      <c r="M357" s="1427">
        <v>0.51060000000000005</v>
      </c>
    </row>
    <row r="358" spans="1:13">
      <c r="A358" s="1441">
        <v>5</v>
      </c>
      <c r="B358" s="1427">
        <v>0.68030000000000002</v>
      </c>
      <c r="C358" s="1427">
        <v>0.68030000000000002</v>
      </c>
      <c r="D358" s="1427">
        <v>0.65439999999999998</v>
      </c>
      <c r="E358" s="1427">
        <v>0.65439999999999998</v>
      </c>
      <c r="F358" s="1427">
        <v>0.65439999999999998</v>
      </c>
      <c r="G358" s="1427">
        <v>0.58379999999999999</v>
      </c>
      <c r="H358" s="1427">
        <v>0.58379999999999999</v>
      </c>
      <c r="I358" s="1427">
        <v>0.50839999999999996</v>
      </c>
      <c r="J358" s="1427">
        <v>0.50839999999999996</v>
      </c>
      <c r="K358" s="1427">
        <v>0.50839999999999996</v>
      </c>
      <c r="L358" s="1427">
        <v>0.50839999999999996</v>
      </c>
      <c r="M358" s="1427">
        <v>0.50839999999999996</v>
      </c>
    </row>
    <row r="359" spans="1:13">
      <c r="A359" s="1418">
        <v>5.0999999999999996</v>
      </c>
      <c r="B359" s="1427">
        <v>0.67889999999999995</v>
      </c>
      <c r="C359" s="1427">
        <v>0.67889999999999995</v>
      </c>
      <c r="D359" s="1427">
        <v>0.65229999999999999</v>
      </c>
      <c r="E359" s="1427">
        <v>0.65229999999999999</v>
      </c>
      <c r="F359" s="1427">
        <v>0.65229999999999999</v>
      </c>
      <c r="G359" s="1427">
        <v>0.58160000000000001</v>
      </c>
      <c r="H359" s="1427">
        <v>0.58160000000000001</v>
      </c>
      <c r="I359" s="1427">
        <v>0.50629999999999997</v>
      </c>
      <c r="J359" s="1427">
        <v>0.50629999999999997</v>
      </c>
      <c r="K359" s="1427">
        <v>0.50629999999999997</v>
      </c>
      <c r="L359" s="1427">
        <v>0.50629999999999997</v>
      </c>
      <c r="M359" s="1427">
        <v>0.50629999999999997</v>
      </c>
    </row>
    <row r="360" spans="1:13">
      <c r="A360" s="1418">
        <v>5.2</v>
      </c>
      <c r="B360" s="1427">
        <v>0.67749999999999999</v>
      </c>
      <c r="C360" s="1427">
        <v>0.67749999999999999</v>
      </c>
      <c r="D360" s="1427">
        <v>0.65029999999999999</v>
      </c>
      <c r="E360" s="1427">
        <v>0.65029999999999999</v>
      </c>
      <c r="F360" s="1427">
        <v>0.65029999999999999</v>
      </c>
      <c r="G360" s="1427">
        <v>0.57950000000000002</v>
      </c>
      <c r="H360" s="1427">
        <v>0.57950000000000002</v>
      </c>
      <c r="I360" s="1427">
        <v>0.50419999999999998</v>
      </c>
      <c r="J360" s="1427">
        <v>0.50419999999999998</v>
      </c>
      <c r="K360" s="1427">
        <v>0.50419999999999998</v>
      </c>
      <c r="L360" s="1427">
        <v>0.50419999999999998</v>
      </c>
      <c r="M360" s="1427">
        <v>0.50419999999999998</v>
      </c>
    </row>
    <row r="361" spans="1:13">
      <c r="A361" s="1418">
        <v>5.3</v>
      </c>
      <c r="B361" s="1427">
        <v>0.67620000000000002</v>
      </c>
      <c r="C361" s="1427">
        <v>0.67620000000000002</v>
      </c>
      <c r="D361" s="1427">
        <v>0.64839999999999998</v>
      </c>
      <c r="E361" s="1427">
        <v>0.64839999999999998</v>
      </c>
      <c r="F361" s="1427">
        <v>0.64839999999999998</v>
      </c>
      <c r="G361" s="1427">
        <v>0.5776</v>
      </c>
      <c r="H361" s="1427">
        <v>0.5776</v>
      </c>
      <c r="I361" s="1427">
        <v>0.50229999999999997</v>
      </c>
      <c r="J361" s="1427">
        <v>0.50229999999999997</v>
      </c>
      <c r="K361" s="1427">
        <v>0.50229999999999997</v>
      </c>
      <c r="L361" s="1427">
        <v>0.50229999999999997</v>
      </c>
      <c r="M361" s="1427">
        <v>0.50229999999999997</v>
      </c>
    </row>
    <row r="362" spans="1:13">
      <c r="A362" s="1418">
        <v>5.4</v>
      </c>
      <c r="B362" s="1427">
        <v>0.67500000000000004</v>
      </c>
      <c r="C362" s="1427">
        <v>0.67500000000000004</v>
      </c>
      <c r="D362" s="1427">
        <v>0.64670000000000005</v>
      </c>
      <c r="E362" s="1427">
        <v>0.64670000000000005</v>
      </c>
      <c r="F362" s="1427">
        <v>0.64670000000000005</v>
      </c>
      <c r="G362" s="1427">
        <v>0.57579999999999998</v>
      </c>
      <c r="H362" s="1427">
        <v>0.57579999999999998</v>
      </c>
      <c r="I362" s="1427">
        <v>0.50039999999999996</v>
      </c>
      <c r="J362" s="1427">
        <v>0.50039999999999996</v>
      </c>
      <c r="K362" s="1427">
        <v>0.50039999999999996</v>
      </c>
      <c r="L362" s="1427">
        <v>0.50039999999999996</v>
      </c>
      <c r="M362" s="1427">
        <v>0.50039999999999996</v>
      </c>
    </row>
    <row r="363" spans="1:13">
      <c r="A363" s="1418">
        <v>5.5</v>
      </c>
      <c r="B363" s="1427">
        <v>0.67379999999999995</v>
      </c>
      <c r="C363" s="1427">
        <v>0.67379999999999995</v>
      </c>
      <c r="D363" s="1427">
        <v>0.64500000000000002</v>
      </c>
      <c r="E363" s="1427">
        <v>0.64500000000000002</v>
      </c>
      <c r="F363" s="1427">
        <v>0.64500000000000002</v>
      </c>
      <c r="G363" s="1427">
        <v>0.57399999999999995</v>
      </c>
      <c r="H363" s="1427">
        <v>0.57399999999999995</v>
      </c>
      <c r="I363" s="1427">
        <v>0.49869999999999998</v>
      </c>
      <c r="J363" s="1427">
        <v>0.49869999999999998</v>
      </c>
      <c r="K363" s="1427">
        <v>0.49869999999999998</v>
      </c>
      <c r="L363" s="1427">
        <v>0.49869999999999998</v>
      </c>
      <c r="M363" s="1427">
        <v>0.49869999999999998</v>
      </c>
    </row>
    <row r="364" spans="1:13">
      <c r="A364" s="1418">
        <v>5.6</v>
      </c>
      <c r="B364" s="1427">
        <v>0.67259999999999998</v>
      </c>
      <c r="C364" s="1427">
        <v>0.67259999999999998</v>
      </c>
      <c r="D364" s="1427">
        <v>0.64339999999999997</v>
      </c>
      <c r="E364" s="1427">
        <v>0.64339999999999997</v>
      </c>
      <c r="F364" s="1427">
        <v>0.64339999999999997</v>
      </c>
      <c r="G364" s="1427">
        <v>0.57240000000000002</v>
      </c>
      <c r="H364" s="1427">
        <v>0.57240000000000002</v>
      </c>
      <c r="I364" s="1427">
        <v>0.49690000000000001</v>
      </c>
      <c r="J364" s="1427">
        <v>0.49690000000000001</v>
      </c>
      <c r="K364" s="1427">
        <v>0.49690000000000001</v>
      </c>
      <c r="L364" s="1427">
        <v>0.49690000000000001</v>
      </c>
      <c r="M364" s="1427">
        <v>0.49690000000000001</v>
      </c>
    </row>
    <row r="365" spans="1:13">
      <c r="A365" s="1441">
        <v>5.7</v>
      </c>
      <c r="B365" s="1427">
        <v>0.6714</v>
      </c>
      <c r="C365" s="1427">
        <v>0.6714</v>
      </c>
      <c r="D365" s="1427">
        <v>0.64190000000000003</v>
      </c>
      <c r="E365" s="1427">
        <v>0.64190000000000003</v>
      </c>
      <c r="F365" s="1427">
        <v>0.64190000000000003</v>
      </c>
      <c r="G365" s="1427">
        <v>0.57069999999999999</v>
      </c>
      <c r="H365" s="1427">
        <v>0.57069999999999999</v>
      </c>
      <c r="I365" s="1427">
        <v>0.49519999999999997</v>
      </c>
      <c r="J365" s="1427">
        <v>0.49519999999999997</v>
      </c>
      <c r="K365" s="1427">
        <v>0.49519999999999997</v>
      </c>
      <c r="L365" s="1427">
        <v>0.49519999999999997</v>
      </c>
      <c r="M365" s="1427">
        <v>0.49519999999999997</v>
      </c>
    </row>
    <row r="366" spans="1:13">
      <c r="A366" s="1418">
        <v>5.8</v>
      </c>
      <c r="B366" s="1427">
        <v>0.67020000000000002</v>
      </c>
      <c r="C366" s="1427">
        <v>0.67020000000000002</v>
      </c>
      <c r="D366" s="1427">
        <v>0.64039999999999997</v>
      </c>
      <c r="E366" s="1427">
        <v>0.64039999999999997</v>
      </c>
      <c r="F366" s="1427">
        <v>0.64039999999999997</v>
      </c>
      <c r="G366" s="1427">
        <v>0.56910000000000005</v>
      </c>
      <c r="H366" s="1427">
        <v>0.56910000000000005</v>
      </c>
      <c r="I366" s="1427">
        <v>0.49359999999999998</v>
      </c>
      <c r="J366" s="1427">
        <v>0.49359999999999998</v>
      </c>
      <c r="K366" s="1427">
        <v>0.49359999999999998</v>
      </c>
      <c r="L366" s="1427">
        <v>0.49359999999999998</v>
      </c>
      <c r="M366" s="1427">
        <v>0.49359999999999998</v>
      </c>
    </row>
    <row r="367" spans="1:13">
      <c r="A367" s="1418">
        <v>5.9</v>
      </c>
      <c r="B367" s="1427">
        <v>0.66910000000000003</v>
      </c>
      <c r="C367" s="1427">
        <v>0.66910000000000003</v>
      </c>
      <c r="D367" s="1427">
        <v>0.63890000000000002</v>
      </c>
      <c r="E367" s="1427">
        <v>0.63890000000000002</v>
      </c>
      <c r="F367" s="1427">
        <v>0.63890000000000002</v>
      </c>
      <c r="G367" s="1427">
        <v>0.5675</v>
      </c>
      <c r="H367" s="1427">
        <v>0.5675</v>
      </c>
      <c r="I367" s="1427">
        <v>0.4919</v>
      </c>
      <c r="J367" s="1427">
        <v>0.4919</v>
      </c>
      <c r="K367" s="1427">
        <v>0.4919</v>
      </c>
      <c r="L367" s="1427">
        <v>0.4919</v>
      </c>
      <c r="M367" s="1427">
        <v>0.4919</v>
      </c>
    </row>
    <row r="368" spans="1:13">
      <c r="A368" s="1418">
        <v>6</v>
      </c>
      <c r="B368" s="1427">
        <v>0.66800000000000004</v>
      </c>
      <c r="C368" s="1427">
        <v>0.66800000000000004</v>
      </c>
      <c r="D368" s="1427">
        <v>0.63739999999999997</v>
      </c>
      <c r="E368" s="1427">
        <v>0.63739999999999997</v>
      </c>
      <c r="F368" s="1427">
        <v>0.63739999999999997</v>
      </c>
      <c r="G368" s="1427">
        <v>0.56589999999999996</v>
      </c>
      <c r="H368" s="1427">
        <v>0.56589999999999996</v>
      </c>
      <c r="I368" s="1427">
        <v>0.49020000000000002</v>
      </c>
      <c r="J368" s="1427">
        <v>0.49020000000000002</v>
      </c>
      <c r="K368" s="1427">
        <v>0.49020000000000002</v>
      </c>
      <c r="L368" s="1427">
        <v>0.49020000000000002</v>
      </c>
      <c r="M368" s="1427">
        <v>0.49020000000000002</v>
      </c>
    </row>
    <row r="369" spans="1:13">
      <c r="A369" s="1418">
        <v>6.1</v>
      </c>
      <c r="B369" s="1427">
        <v>0.66690000000000005</v>
      </c>
      <c r="C369" s="1427">
        <v>0.66690000000000005</v>
      </c>
      <c r="D369" s="1427">
        <v>0.63590000000000002</v>
      </c>
      <c r="E369" s="1427">
        <v>0.63590000000000002</v>
      </c>
      <c r="F369" s="1427">
        <v>0.63590000000000002</v>
      </c>
      <c r="G369" s="1427">
        <v>0.56440000000000001</v>
      </c>
      <c r="H369" s="1427">
        <v>0.56440000000000001</v>
      </c>
      <c r="I369" s="1427">
        <v>0.48849999999999999</v>
      </c>
      <c r="J369" s="1427">
        <v>0.48849999999999999</v>
      </c>
      <c r="K369" s="1427">
        <v>0.48849999999999999</v>
      </c>
      <c r="L369" s="1427">
        <v>0.48849999999999999</v>
      </c>
      <c r="M369" s="1427">
        <v>0.48849999999999999</v>
      </c>
    </row>
    <row r="370" spans="1:13">
      <c r="A370" s="1418">
        <v>6.2</v>
      </c>
      <c r="B370" s="1427">
        <v>0.66579999999999995</v>
      </c>
      <c r="C370" s="1427">
        <v>0.66579999999999995</v>
      </c>
      <c r="D370" s="1427">
        <v>0.63439999999999996</v>
      </c>
      <c r="E370" s="1427">
        <v>0.63439999999999996</v>
      </c>
      <c r="F370" s="1427">
        <v>0.63439999999999996</v>
      </c>
      <c r="G370" s="1427">
        <v>0.56289999999999996</v>
      </c>
      <c r="H370" s="1427">
        <v>0.56289999999999996</v>
      </c>
      <c r="I370" s="1427">
        <v>0.48680000000000001</v>
      </c>
      <c r="J370" s="1427">
        <v>0.48680000000000001</v>
      </c>
      <c r="K370" s="1427">
        <v>0.48680000000000001</v>
      </c>
      <c r="L370" s="1427">
        <v>0.48680000000000001</v>
      </c>
      <c r="M370" s="1427">
        <v>0.48680000000000001</v>
      </c>
    </row>
    <row r="371" spans="1:13">
      <c r="A371" s="1418">
        <v>6.3</v>
      </c>
      <c r="B371" s="1427">
        <v>0.66469999999999996</v>
      </c>
      <c r="C371" s="1427">
        <v>0.66469999999999996</v>
      </c>
      <c r="D371" s="1427">
        <v>0.63290000000000002</v>
      </c>
      <c r="E371" s="1427">
        <v>0.63290000000000002</v>
      </c>
      <c r="F371" s="1427">
        <v>0.63290000000000002</v>
      </c>
      <c r="G371" s="1427">
        <v>0.56130000000000002</v>
      </c>
      <c r="H371" s="1427">
        <v>0.56130000000000002</v>
      </c>
      <c r="I371" s="1427">
        <v>0.48509999999999998</v>
      </c>
      <c r="J371" s="1427">
        <v>0.48509999999999998</v>
      </c>
      <c r="K371" s="1427">
        <v>0.48509999999999998</v>
      </c>
      <c r="L371" s="1427">
        <v>0.48509999999999998</v>
      </c>
      <c r="M371" s="1427">
        <v>0.48509999999999998</v>
      </c>
    </row>
    <row r="372" spans="1:13">
      <c r="A372" s="1418">
        <v>6.4</v>
      </c>
      <c r="B372" s="1427">
        <v>0.66359999999999997</v>
      </c>
      <c r="C372" s="1427">
        <v>0.66359999999999997</v>
      </c>
      <c r="D372" s="1427">
        <v>0.63139999999999996</v>
      </c>
      <c r="E372" s="1427">
        <v>0.63139999999999996</v>
      </c>
      <c r="F372" s="1427">
        <v>0.63139999999999996</v>
      </c>
      <c r="G372" s="1427">
        <v>0.55979999999999996</v>
      </c>
      <c r="H372" s="1427">
        <v>0.55979999999999996</v>
      </c>
      <c r="I372" s="1427">
        <v>0.48349999999999999</v>
      </c>
      <c r="J372" s="1427">
        <v>0.48349999999999999</v>
      </c>
      <c r="K372" s="1427">
        <v>0.48349999999999999</v>
      </c>
      <c r="L372" s="1427">
        <v>0.48349999999999999</v>
      </c>
      <c r="M372" s="1427">
        <v>0.48349999999999999</v>
      </c>
    </row>
    <row r="373" spans="1:13">
      <c r="A373" s="1418">
        <v>6.5</v>
      </c>
      <c r="B373" s="1427">
        <v>0.66249999999999998</v>
      </c>
      <c r="C373" s="1427">
        <v>0.66249999999999998</v>
      </c>
      <c r="D373" s="1427">
        <v>0.63</v>
      </c>
      <c r="E373" s="1427">
        <v>0.63</v>
      </c>
      <c r="F373" s="1427">
        <v>0.63</v>
      </c>
      <c r="G373" s="1427">
        <v>0.55820000000000003</v>
      </c>
      <c r="H373" s="1427">
        <v>0.55820000000000003</v>
      </c>
      <c r="I373" s="1427">
        <v>0.4819</v>
      </c>
      <c r="J373" s="1427">
        <v>0.4819</v>
      </c>
      <c r="K373" s="1427">
        <v>0.4819</v>
      </c>
      <c r="L373" s="1427">
        <v>0.4819</v>
      </c>
      <c r="M373" s="1427">
        <v>0.4819</v>
      </c>
    </row>
    <row r="374" spans="1:13">
      <c r="A374" s="1418">
        <v>6.6</v>
      </c>
      <c r="B374" s="1427">
        <v>0.66149999999999998</v>
      </c>
      <c r="C374" s="1427">
        <v>0.66149999999999998</v>
      </c>
      <c r="D374" s="1427">
        <v>0.62860000000000005</v>
      </c>
      <c r="E374" s="1427">
        <v>0.62860000000000005</v>
      </c>
      <c r="F374" s="1427">
        <v>0.62860000000000005</v>
      </c>
      <c r="G374" s="1427">
        <v>0.55669999999999997</v>
      </c>
      <c r="H374" s="1427">
        <v>0.55669999999999997</v>
      </c>
      <c r="I374" s="1427">
        <v>0.4803</v>
      </c>
      <c r="J374" s="1427">
        <v>0.4803</v>
      </c>
      <c r="K374" s="1427">
        <v>0.4803</v>
      </c>
      <c r="L374" s="1427">
        <v>0.4803</v>
      </c>
      <c r="M374" s="1427">
        <v>0.4803</v>
      </c>
    </row>
    <row r="375" spans="1:13">
      <c r="A375" s="1418">
        <v>6.7</v>
      </c>
      <c r="B375" s="1427">
        <v>0.66049999999999998</v>
      </c>
      <c r="C375" s="1427">
        <v>0.66049999999999998</v>
      </c>
      <c r="D375" s="1427">
        <v>0.62719999999999998</v>
      </c>
      <c r="E375" s="1427">
        <v>0.62719999999999998</v>
      </c>
      <c r="F375" s="1427">
        <v>0.62719999999999998</v>
      </c>
      <c r="G375" s="1427">
        <v>0.55520000000000003</v>
      </c>
      <c r="H375" s="1427">
        <v>0.55520000000000003</v>
      </c>
      <c r="I375" s="1427">
        <v>0.47870000000000001</v>
      </c>
      <c r="J375" s="1427">
        <v>0.47870000000000001</v>
      </c>
      <c r="K375" s="1427">
        <v>0.47870000000000001</v>
      </c>
      <c r="L375" s="1427">
        <v>0.47870000000000001</v>
      </c>
      <c r="M375" s="1427">
        <v>0.47870000000000001</v>
      </c>
    </row>
    <row r="376" spans="1:13">
      <c r="A376" s="1418">
        <v>6.8</v>
      </c>
      <c r="B376" s="1427">
        <v>0.65949999999999998</v>
      </c>
      <c r="C376" s="1427">
        <v>0.65949999999999998</v>
      </c>
      <c r="D376" s="1427">
        <v>0.62580000000000002</v>
      </c>
      <c r="E376" s="1427">
        <v>0.62580000000000002</v>
      </c>
      <c r="F376" s="1427">
        <v>0.62580000000000002</v>
      </c>
      <c r="G376" s="1427">
        <v>0.55359999999999998</v>
      </c>
      <c r="H376" s="1427">
        <v>0.55359999999999998</v>
      </c>
      <c r="I376" s="1427">
        <v>0.47710000000000002</v>
      </c>
      <c r="J376" s="1427">
        <v>0.47710000000000002</v>
      </c>
      <c r="K376" s="1427">
        <v>0.47710000000000002</v>
      </c>
      <c r="L376" s="1427">
        <v>0.47710000000000002</v>
      </c>
      <c r="M376" s="1427">
        <v>0.47710000000000002</v>
      </c>
    </row>
    <row r="377" spans="1:13">
      <c r="A377" s="1418">
        <v>6.9</v>
      </c>
      <c r="B377" s="1427">
        <v>0.65849999999999997</v>
      </c>
      <c r="C377" s="1427">
        <v>0.65849999999999997</v>
      </c>
      <c r="D377" s="1427">
        <v>0.62439999999999996</v>
      </c>
      <c r="E377" s="1427">
        <v>0.62439999999999996</v>
      </c>
      <c r="F377" s="1427">
        <v>0.62439999999999996</v>
      </c>
      <c r="G377" s="1427">
        <v>0.55220000000000002</v>
      </c>
      <c r="H377" s="1427">
        <v>0.55220000000000002</v>
      </c>
      <c r="I377" s="1427">
        <v>0.47549999999999998</v>
      </c>
      <c r="J377" s="1427">
        <v>0.47549999999999998</v>
      </c>
      <c r="K377" s="1427">
        <v>0.47549999999999998</v>
      </c>
      <c r="L377" s="1427">
        <v>0.47549999999999998</v>
      </c>
      <c r="M377" s="1427">
        <v>0.47549999999999998</v>
      </c>
    </row>
    <row r="378" spans="1:13">
      <c r="A378" s="1418">
        <v>7</v>
      </c>
      <c r="B378" s="1427">
        <v>0.65749999999999997</v>
      </c>
      <c r="C378" s="1427">
        <v>0.65749999999999997</v>
      </c>
      <c r="D378" s="1427">
        <v>0.623</v>
      </c>
      <c r="E378" s="1427">
        <v>0.623</v>
      </c>
      <c r="F378" s="1427">
        <v>0.623</v>
      </c>
      <c r="G378" s="1427">
        <v>0.55069999999999997</v>
      </c>
      <c r="H378" s="1427">
        <v>0.55069999999999997</v>
      </c>
      <c r="I378" s="1427">
        <v>0.47389999999999999</v>
      </c>
      <c r="J378" s="1427">
        <v>0.47389999999999999</v>
      </c>
      <c r="K378" s="1427">
        <v>0.47389999999999999</v>
      </c>
      <c r="L378" s="1427">
        <v>0.47389999999999999</v>
      </c>
      <c r="M378" s="1427">
        <v>0.47389999999999999</v>
      </c>
    </row>
    <row r="379" spans="1:13">
      <c r="A379" s="1418">
        <v>7.1</v>
      </c>
      <c r="B379" s="1427">
        <v>0.65649999999999997</v>
      </c>
      <c r="C379" s="1427">
        <v>0.65649999999999997</v>
      </c>
      <c r="D379" s="1427">
        <v>0.62160000000000004</v>
      </c>
      <c r="E379" s="1427">
        <v>0.62160000000000004</v>
      </c>
      <c r="F379" s="1427">
        <v>0.62160000000000004</v>
      </c>
      <c r="G379" s="1427">
        <v>0.54930000000000001</v>
      </c>
      <c r="H379" s="1427">
        <v>0.54930000000000001</v>
      </c>
      <c r="I379" s="1427">
        <v>0.47239999999999999</v>
      </c>
      <c r="J379" s="1427">
        <v>0.47239999999999999</v>
      </c>
      <c r="K379" s="1427">
        <v>0.47239999999999999</v>
      </c>
      <c r="L379" s="1427">
        <v>0.47239999999999999</v>
      </c>
      <c r="M379" s="1427">
        <v>0.47239999999999999</v>
      </c>
    </row>
    <row r="380" spans="1:13">
      <c r="A380" s="1418">
        <v>7.2</v>
      </c>
      <c r="B380" s="1427">
        <v>0.65549999999999997</v>
      </c>
      <c r="C380" s="1427">
        <v>0.65549999999999997</v>
      </c>
      <c r="D380" s="1427">
        <v>0.62019999999999997</v>
      </c>
      <c r="E380" s="1427">
        <v>0.62019999999999997</v>
      </c>
      <c r="F380" s="1427">
        <v>0.62019999999999997</v>
      </c>
      <c r="G380" s="1427">
        <v>0.54779999999999995</v>
      </c>
      <c r="H380" s="1427">
        <v>0.54779999999999995</v>
      </c>
      <c r="I380" s="1427">
        <v>0.47089999999999999</v>
      </c>
      <c r="J380" s="1427">
        <v>0.47089999999999999</v>
      </c>
      <c r="K380" s="1427">
        <v>0.47089999999999999</v>
      </c>
      <c r="L380" s="1427">
        <v>0.47089999999999999</v>
      </c>
      <c r="M380" s="1427">
        <v>0.47089999999999999</v>
      </c>
    </row>
    <row r="381" spans="1:13">
      <c r="A381" s="1418">
        <v>7.3</v>
      </c>
      <c r="B381" s="1427">
        <v>0.65449999999999997</v>
      </c>
      <c r="C381" s="1427">
        <v>0.65449999999999997</v>
      </c>
      <c r="D381" s="1427">
        <v>0.61880000000000002</v>
      </c>
      <c r="E381" s="1427">
        <v>0.61880000000000002</v>
      </c>
      <c r="F381" s="1427">
        <v>0.61880000000000002</v>
      </c>
      <c r="G381" s="1427">
        <v>0.5464</v>
      </c>
      <c r="H381" s="1427">
        <v>0.5464</v>
      </c>
      <c r="I381" s="1427">
        <v>0.46939999999999998</v>
      </c>
      <c r="J381" s="1427">
        <v>0.46939999999999998</v>
      </c>
      <c r="K381" s="1427">
        <v>0.46939999999999998</v>
      </c>
      <c r="L381" s="1427">
        <v>0.46939999999999998</v>
      </c>
      <c r="M381" s="1427">
        <v>0.46939999999999998</v>
      </c>
    </row>
    <row r="382" spans="1:13">
      <c r="A382" s="1418">
        <v>7.4</v>
      </c>
      <c r="B382" s="1427">
        <v>0.65349999999999997</v>
      </c>
      <c r="C382" s="1427">
        <v>0.65349999999999997</v>
      </c>
      <c r="D382" s="1427">
        <v>0.61750000000000005</v>
      </c>
      <c r="E382" s="1427">
        <v>0.61750000000000005</v>
      </c>
      <c r="F382" s="1427">
        <v>0.61750000000000005</v>
      </c>
      <c r="G382" s="1427">
        <v>0.54490000000000005</v>
      </c>
      <c r="H382" s="1427">
        <v>0.54490000000000005</v>
      </c>
      <c r="I382" s="1427">
        <v>0.46779999999999999</v>
      </c>
      <c r="J382" s="1427">
        <v>0.46779999999999999</v>
      </c>
      <c r="K382" s="1427">
        <v>0.46779999999999999</v>
      </c>
      <c r="L382" s="1427">
        <v>0.46779999999999999</v>
      </c>
      <c r="M382" s="1427">
        <v>0.46779999999999999</v>
      </c>
    </row>
    <row r="383" spans="1:13">
      <c r="A383" s="1418">
        <v>7.5</v>
      </c>
      <c r="B383" s="1427">
        <v>0.65249999999999997</v>
      </c>
      <c r="C383" s="1427">
        <v>0.65249999999999997</v>
      </c>
      <c r="D383" s="1427">
        <v>0.61619999999999997</v>
      </c>
      <c r="E383" s="1427">
        <v>0.61619999999999997</v>
      </c>
      <c r="F383" s="1427">
        <v>0.61619999999999997</v>
      </c>
      <c r="G383" s="1427">
        <v>0.54349999999999998</v>
      </c>
      <c r="H383" s="1427">
        <v>0.54349999999999998</v>
      </c>
      <c r="I383" s="1427">
        <v>0.46629999999999999</v>
      </c>
      <c r="J383" s="1427">
        <v>0.46629999999999999</v>
      </c>
      <c r="K383" s="1427">
        <v>0.46629999999999999</v>
      </c>
      <c r="L383" s="1427">
        <v>0.46629999999999999</v>
      </c>
      <c r="M383" s="1427">
        <v>0.46629999999999999</v>
      </c>
    </row>
    <row r="384" spans="1:13">
      <c r="A384" s="1418">
        <v>7.6</v>
      </c>
      <c r="B384" s="1427">
        <v>0.65149999999999997</v>
      </c>
      <c r="C384" s="1427">
        <v>0.65149999999999997</v>
      </c>
      <c r="D384" s="1427">
        <v>0.6149</v>
      </c>
      <c r="E384" s="1427">
        <v>0.6149</v>
      </c>
      <c r="F384" s="1427">
        <v>0.6149</v>
      </c>
      <c r="G384" s="1427">
        <v>0.54200000000000004</v>
      </c>
      <c r="H384" s="1427">
        <v>0.54200000000000004</v>
      </c>
      <c r="I384" s="1427">
        <v>0.46479999999999999</v>
      </c>
      <c r="J384" s="1427">
        <v>0.46479999999999999</v>
      </c>
      <c r="K384" s="1427">
        <v>0.46479999999999999</v>
      </c>
      <c r="L384" s="1427">
        <v>0.46479999999999999</v>
      </c>
      <c r="M384" s="1427">
        <v>0.46479999999999999</v>
      </c>
    </row>
    <row r="385" spans="1:13">
      <c r="A385" s="1418">
        <v>7.7</v>
      </c>
      <c r="B385" s="1427">
        <v>0.65049999999999997</v>
      </c>
      <c r="C385" s="1427">
        <v>0.65049999999999997</v>
      </c>
      <c r="D385" s="1427">
        <v>0.61360000000000003</v>
      </c>
      <c r="E385" s="1427">
        <v>0.61360000000000003</v>
      </c>
      <c r="F385" s="1427">
        <v>0.61360000000000003</v>
      </c>
      <c r="G385" s="1427">
        <v>0.54059999999999997</v>
      </c>
      <c r="H385" s="1427">
        <v>0.54059999999999997</v>
      </c>
      <c r="I385" s="1427">
        <v>0.46329999999999999</v>
      </c>
      <c r="J385" s="1427">
        <v>0.46329999999999999</v>
      </c>
      <c r="K385" s="1427">
        <v>0.46329999999999999</v>
      </c>
      <c r="L385" s="1427">
        <v>0.46329999999999999</v>
      </c>
      <c r="M385" s="1427">
        <v>0.46329999999999999</v>
      </c>
    </row>
    <row r="386" spans="1:13">
      <c r="A386" s="1418">
        <v>7.8</v>
      </c>
      <c r="B386" s="1427">
        <v>0.64949999999999997</v>
      </c>
      <c r="C386" s="1427">
        <v>0.64949999999999997</v>
      </c>
      <c r="D386" s="1427">
        <v>0.61229999999999996</v>
      </c>
      <c r="E386" s="1427">
        <v>0.61229999999999996</v>
      </c>
      <c r="F386" s="1427">
        <v>0.61229999999999996</v>
      </c>
      <c r="G386" s="1427">
        <v>0.53910000000000002</v>
      </c>
      <c r="H386" s="1427">
        <v>0.53910000000000002</v>
      </c>
      <c r="I386" s="1427">
        <v>0.4617</v>
      </c>
      <c r="J386" s="1427">
        <v>0.4617</v>
      </c>
      <c r="K386" s="1427">
        <v>0.4617</v>
      </c>
      <c r="L386" s="1427">
        <v>0.4617</v>
      </c>
      <c r="M386" s="1427">
        <v>0.4617</v>
      </c>
    </row>
    <row r="387" spans="1:13">
      <c r="A387" s="1418">
        <v>7.9</v>
      </c>
      <c r="B387" s="1427">
        <v>0.64849999999999997</v>
      </c>
      <c r="C387" s="1427">
        <v>0.64849999999999997</v>
      </c>
      <c r="D387" s="1427">
        <v>0.61099999999999999</v>
      </c>
      <c r="E387" s="1427">
        <v>0.61099999999999999</v>
      </c>
      <c r="F387" s="1427">
        <v>0.61099999999999999</v>
      </c>
      <c r="G387" s="1427">
        <v>0.53769999999999996</v>
      </c>
      <c r="H387" s="1427">
        <v>0.53769999999999996</v>
      </c>
      <c r="I387" s="1427">
        <v>0.4602</v>
      </c>
      <c r="J387" s="1427">
        <v>0.4602</v>
      </c>
      <c r="K387" s="1427">
        <v>0.4602</v>
      </c>
      <c r="L387" s="1427">
        <v>0.4602</v>
      </c>
      <c r="M387" s="1427">
        <v>0.4602</v>
      </c>
    </row>
    <row r="388" spans="1:13">
      <c r="A388" s="1418">
        <v>8</v>
      </c>
      <c r="B388" s="1427">
        <v>0.64749999999999996</v>
      </c>
      <c r="C388" s="1427">
        <v>0.64749999999999996</v>
      </c>
      <c r="D388" s="1427">
        <v>0.60970000000000002</v>
      </c>
      <c r="E388" s="1427">
        <v>0.60970000000000002</v>
      </c>
      <c r="F388" s="1427">
        <v>0.60970000000000002</v>
      </c>
      <c r="G388" s="1427">
        <v>0.53620000000000001</v>
      </c>
      <c r="H388" s="1427">
        <v>0.53620000000000001</v>
      </c>
      <c r="I388" s="1427">
        <v>0.4587</v>
      </c>
      <c r="J388" s="1427">
        <v>0.4587</v>
      </c>
      <c r="K388" s="1427">
        <v>0.4587</v>
      </c>
      <c r="L388" s="1427">
        <v>0.4587</v>
      </c>
      <c r="M388" s="1427">
        <v>0.4587</v>
      </c>
    </row>
    <row r="389" spans="1:13">
      <c r="A389" s="1418">
        <v>8.1</v>
      </c>
      <c r="B389" s="1427">
        <v>0.64649999999999996</v>
      </c>
      <c r="C389" s="1427">
        <v>0.64649999999999996</v>
      </c>
      <c r="D389" s="1427">
        <v>0.60840000000000005</v>
      </c>
      <c r="E389" s="1427">
        <v>0.60840000000000005</v>
      </c>
      <c r="F389" s="1427">
        <v>0.60840000000000005</v>
      </c>
      <c r="G389" s="1427">
        <v>0.53480000000000005</v>
      </c>
      <c r="H389" s="1427">
        <v>0.53480000000000005</v>
      </c>
      <c r="I389" s="1427">
        <v>0.4572</v>
      </c>
      <c r="J389" s="1427">
        <v>0.4572</v>
      </c>
      <c r="K389" s="1427">
        <v>0.4572</v>
      </c>
      <c r="L389" s="1427">
        <v>0.4572</v>
      </c>
      <c r="M389" s="1427">
        <v>0.4572</v>
      </c>
    </row>
    <row r="390" spans="1:13">
      <c r="A390" s="1418">
        <v>8.1999999999999993</v>
      </c>
      <c r="B390" s="1427">
        <v>0.64549999999999996</v>
      </c>
      <c r="C390" s="1427">
        <v>0.64549999999999996</v>
      </c>
      <c r="D390" s="1427">
        <v>0.60709999999999997</v>
      </c>
      <c r="E390" s="1427">
        <v>0.60709999999999997</v>
      </c>
      <c r="F390" s="1427">
        <v>0.60709999999999997</v>
      </c>
      <c r="G390" s="1427">
        <v>0.5333</v>
      </c>
      <c r="H390" s="1427">
        <v>0.5333</v>
      </c>
      <c r="I390" s="1427">
        <v>0.45569999999999999</v>
      </c>
      <c r="J390" s="1427">
        <v>0.45569999999999999</v>
      </c>
      <c r="K390" s="1427">
        <v>0.45569999999999999</v>
      </c>
      <c r="L390" s="1427">
        <v>0.45569999999999999</v>
      </c>
      <c r="M390" s="1427">
        <v>0.45569999999999999</v>
      </c>
    </row>
    <row r="391" spans="1:13">
      <c r="A391" s="1418">
        <v>8.3000000000000007</v>
      </c>
      <c r="B391" s="1427">
        <v>0.64449999999999996</v>
      </c>
      <c r="C391" s="1427">
        <v>0.64449999999999996</v>
      </c>
      <c r="D391" s="1427">
        <v>0.60580000000000001</v>
      </c>
      <c r="E391" s="1427">
        <v>0.60580000000000001</v>
      </c>
      <c r="F391" s="1427">
        <v>0.60580000000000001</v>
      </c>
      <c r="G391" s="1427">
        <v>0.53190000000000004</v>
      </c>
      <c r="H391" s="1427">
        <v>0.53190000000000004</v>
      </c>
      <c r="I391" s="1427">
        <v>0.45429999999999998</v>
      </c>
      <c r="J391" s="1427">
        <v>0.45429999999999998</v>
      </c>
      <c r="K391" s="1427">
        <v>0.45429999999999998</v>
      </c>
      <c r="L391" s="1427">
        <v>0.45429999999999998</v>
      </c>
      <c r="M391" s="1427">
        <v>0.45429999999999998</v>
      </c>
    </row>
    <row r="392" spans="1:13">
      <c r="A392" s="1418">
        <v>8.4</v>
      </c>
      <c r="B392" s="1427">
        <v>0.64349999999999996</v>
      </c>
      <c r="C392" s="1427">
        <v>0.64349999999999996</v>
      </c>
      <c r="D392" s="1427">
        <v>0.60450000000000004</v>
      </c>
      <c r="E392" s="1427">
        <v>0.60450000000000004</v>
      </c>
      <c r="F392" s="1427">
        <v>0.60450000000000004</v>
      </c>
      <c r="G392" s="1427">
        <v>0.53039999999999998</v>
      </c>
      <c r="H392" s="1427">
        <v>0.53039999999999998</v>
      </c>
      <c r="I392" s="1427">
        <v>0.45290000000000002</v>
      </c>
      <c r="J392" s="1427">
        <v>0.45290000000000002</v>
      </c>
      <c r="K392" s="1427">
        <v>0.45290000000000002</v>
      </c>
      <c r="L392" s="1427">
        <v>0.45290000000000002</v>
      </c>
      <c r="M392" s="1427">
        <v>0.45290000000000002</v>
      </c>
    </row>
    <row r="393" spans="1:13">
      <c r="A393" s="1418">
        <v>8.5</v>
      </c>
      <c r="B393" s="1427">
        <v>0.64249999999999996</v>
      </c>
      <c r="C393" s="1427">
        <v>0.64249999999999996</v>
      </c>
      <c r="D393" s="1427">
        <v>0.60319999999999996</v>
      </c>
      <c r="E393" s="1427">
        <v>0.60319999999999996</v>
      </c>
      <c r="F393" s="1427">
        <v>0.60319999999999996</v>
      </c>
      <c r="G393" s="1427">
        <v>0.52900000000000003</v>
      </c>
      <c r="H393" s="1427">
        <v>0.52900000000000003</v>
      </c>
      <c r="I393" s="1427">
        <v>0.45140000000000002</v>
      </c>
      <c r="J393" s="1427">
        <v>0.45140000000000002</v>
      </c>
      <c r="K393" s="1427">
        <v>0.45140000000000002</v>
      </c>
      <c r="L393" s="1427">
        <v>0.45140000000000002</v>
      </c>
      <c r="M393" s="1427">
        <v>0.45140000000000002</v>
      </c>
    </row>
    <row r="394" spans="1:13">
      <c r="A394" s="1418">
        <v>8.6</v>
      </c>
      <c r="B394" s="1427">
        <v>0.64149999999999996</v>
      </c>
      <c r="C394" s="1427">
        <v>0.64149999999999996</v>
      </c>
      <c r="D394" s="1427">
        <v>0.60189999999999999</v>
      </c>
      <c r="E394" s="1427">
        <v>0.60189999999999999</v>
      </c>
      <c r="F394" s="1427">
        <v>0.60189999999999999</v>
      </c>
      <c r="G394" s="1427">
        <v>0.52749999999999997</v>
      </c>
      <c r="H394" s="1427">
        <v>0.52749999999999997</v>
      </c>
      <c r="I394" s="1427">
        <v>0.45</v>
      </c>
      <c r="J394" s="1427">
        <v>0.45</v>
      </c>
      <c r="K394" s="1427">
        <v>0.45</v>
      </c>
      <c r="L394" s="1427">
        <v>0.45</v>
      </c>
      <c r="M394" s="1427">
        <v>0.45</v>
      </c>
    </row>
    <row r="395" spans="1:13">
      <c r="A395" s="1418">
        <v>8.6999999999999993</v>
      </c>
      <c r="B395" s="1427">
        <v>0.64049999999999996</v>
      </c>
      <c r="C395" s="1427">
        <v>0.64049999999999996</v>
      </c>
      <c r="D395" s="1427">
        <v>0.60060000000000002</v>
      </c>
      <c r="E395" s="1427">
        <v>0.60060000000000002</v>
      </c>
      <c r="F395" s="1427">
        <v>0.60060000000000002</v>
      </c>
      <c r="G395" s="1427">
        <v>0.52610000000000001</v>
      </c>
      <c r="H395" s="1427">
        <v>0.52610000000000001</v>
      </c>
      <c r="I395" s="1427">
        <v>0.44850000000000001</v>
      </c>
      <c r="J395" s="1427">
        <v>0.44850000000000001</v>
      </c>
      <c r="K395" s="1427">
        <v>0.44850000000000001</v>
      </c>
      <c r="L395" s="1427">
        <v>0.44850000000000001</v>
      </c>
      <c r="M395" s="1427">
        <v>0.44850000000000001</v>
      </c>
    </row>
    <row r="396" spans="1:13">
      <c r="A396" s="1418">
        <v>8.8000000000000007</v>
      </c>
      <c r="B396" s="1427">
        <v>0.63949999999999996</v>
      </c>
      <c r="C396" s="1427">
        <v>0.63949999999999996</v>
      </c>
      <c r="D396" s="1427">
        <v>0.59930000000000005</v>
      </c>
      <c r="E396" s="1427">
        <v>0.59930000000000005</v>
      </c>
      <c r="F396" s="1427">
        <v>0.59930000000000005</v>
      </c>
      <c r="G396" s="1427">
        <v>0.52459999999999996</v>
      </c>
      <c r="H396" s="1427">
        <v>0.52459999999999996</v>
      </c>
      <c r="I396" s="1427">
        <v>0.4471</v>
      </c>
      <c r="J396" s="1427">
        <v>0.4471</v>
      </c>
      <c r="K396" s="1427">
        <v>0.4471</v>
      </c>
      <c r="L396" s="1427">
        <v>0.4471</v>
      </c>
      <c r="M396" s="1427">
        <v>0.4471</v>
      </c>
    </row>
    <row r="397" spans="1:13">
      <c r="A397" s="1418">
        <v>8.9</v>
      </c>
      <c r="B397" s="1427">
        <v>0.63849999999999996</v>
      </c>
      <c r="C397" s="1427">
        <v>0.63849999999999996</v>
      </c>
      <c r="D397" s="1427">
        <v>0.59799999999999998</v>
      </c>
      <c r="E397" s="1427">
        <v>0.59799999999999998</v>
      </c>
      <c r="F397" s="1427">
        <v>0.59799999999999998</v>
      </c>
      <c r="G397" s="1427">
        <v>0.5232</v>
      </c>
      <c r="H397" s="1427">
        <v>0.5232</v>
      </c>
      <c r="I397" s="1427">
        <v>0.4456</v>
      </c>
      <c r="J397" s="1427">
        <v>0.4456</v>
      </c>
      <c r="K397" s="1427">
        <v>0.4456</v>
      </c>
      <c r="L397" s="1427">
        <v>0.4456</v>
      </c>
      <c r="M397" s="1427">
        <v>0.4456</v>
      </c>
    </row>
    <row r="398" spans="1:13">
      <c r="A398" s="1441">
        <v>9</v>
      </c>
      <c r="B398" s="1427">
        <v>0.63749999999999996</v>
      </c>
      <c r="C398" s="1427">
        <v>0.63749999999999996</v>
      </c>
      <c r="D398" s="1427">
        <v>0.59670000000000001</v>
      </c>
      <c r="E398" s="1427">
        <v>0.59670000000000001</v>
      </c>
      <c r="F398" s="1427">
        <v>0.59670000000000001</v>
      </c>
      <c r="G398" s="1427">
        <v>0.52170000000000005</v>
      </c>
      <c r="H398" s="1427">
        <v>0.52170000000000005</v>
      </c>
      <c r="I398" s="1427">
        <v>0.44429999999999997</v>
      </c>
      <c r="J398" s="1427">
        <v>0.44429999999999997</v>
      </c>
      <c r="K398" s="1427">
        <v>0.44429999999999997</v>
      </c>
      <c r="L398" s="1427">
        <v>0.44429999999999997</v>
      </c>
      <c r="M398" s="1427">
        <v>0.44429999999999997</v>
      </c>
    </row>
    <row r="399" spans="1:13">
      <c r="A399" s="1441">
        <v>9.1</v>
      </c>
      <c r="B399" s="1427">
        <v>0.63649999999999995</v>
      </c>
      <c r="C399" s="1427">
        <v>0.63649999999999995</v>
      </c>
      <c r="D399" s="1427">
        <v>0.59540000000000004</v>
      </c>
      <c r="E399" s="1427">
        <v>0.59540000000000004</v>
      </c>
      <c r="F399" s="1427">
        <v>0.59540000000000004</v>
      </c>
      <c r="G399" s="1427">
        <v>0.52029999999999998</v>
      </c>
      <c r="H399" s="1427">
        <v>0.52029999999999998</v>
      </c>
      <c r="I399" s="1427">
        <v>0.44290000000000002</v>
      </c>
      <c r="J399" s="1427">
        <v>0.44290000000000002</v>
      </c>
      <c r="K399" s="1427">
        <v>0.44290000000000002</v>
      </c>
      <c r="L399" s="1427">
        <v>0.44290000000000002</v>
      </c>
      <c r="M399" s="1427">
        <v>0.44290000000000002</v>
      </c>
    </row>
    <row r="400" spans="1:13">
      <c r="A400" s="1441">
        <v>9.1999999999999993</v>
      </c>
      <c r="B400" s="1427">
        <v>0.63549999999999995</v>
      </c>
      <c r="C400" s="1427">
        <v>0.63549999999999995</v>
      </c>
      <c r="D400" s="1427">
        <v>0.59409999999999996</v>
      </c>
      <c r="E400" s="1427">
        <v>0.59409999999999996</v>
      </c>
      <c r="F400" s="1427">
        <v>0.59409999999999996</v>
      </c>
      <c r="G400" s="1427">
        <v>0.51880000000000004</v>
      </c>
      <c r="H400" s="1427">
        <v>0.51880000000000004</v>
      </c>
      <c r="I400" s="1427">
        <v>0.44159999999999999</v>
      </c>
      <c r="J400" s="1427">
        <v>0.44159999999999999</v>
      </c>
      <c r="K400" s="1427">
        <v>0.44159999999999999</v>
      </c>
      <c r="L400" s="1427">
        <v>0.44159999999999999</v>
      </c>
      <c r="M400" s="1427">
        <v>0.44159999999999999</v>
      </c>
    </row>
    <row r="401" spans="1:13">
      <c r="A401" s="1441">
        <v>9.3000000000000007</v>
      </c>
      <c r="B401" s="1427">
        <v>0.63449999999999995</v>
      </c>
      <c r="C401" s="1427">
        <v>0.63449999999999995</v>
      </c>
      <c r="D401" s="1427">
        <v>0.59279999999999999</v>
      </c>
      <c r="E401" s="1427">
        <v>0.59279999999999999</v>
      </c>
      <c r="F401" s="1427">
        <v>0.59279999999999999</v>
      </c>
      <c r="G401" s="1427">
        <v>0.51739999999999997</v>
      </c>
      <c r="H401" s="1427">
        <v>0.51739999999999997</v>
      </c>
      <c r="I401" s="1427">
        <v>0.44019999999999998</v>
      </c>
      <c r="J401" s="1427">
        <v>0.44019999999999998</v>
      </c>
      <c r="K401" s="1427">
        <v>0.44019999999999998</v>
      </c>
      <c r="L401" s="1427">
        <v>0.44019999999999998</v>
      </c>
      <c r="M401" s="1427">
        <v>0.44019999999999998</v>
      </c>
    </row>
    <row r="402" spans="1:13">
      <c r="A402" s="1441">
        <v>9.4</v>
      </c>
      <c r="B402" s="1427">
        <v>0.63349999999999995</v>
      </c>
      <c r="C402" s="1427">
        <v>0.63349999999999995</v>
      </c>
      <c r="D402" s="1427">
        <v>0.59150000000000003</v>
      </c>
      <c r="E402" s="1427">
        <v>0.59150000000000003</v>
      </c>
      <c r="F402" s="1427">
        <v>0.59150000000000003</v>
      </c>
      <c r="G402" s="1427">
        <v>0.51600000000000001</v>
      </c>
      <c r="H402" s="1427">
        <v>0.51600000000000001</v>
      </c>
      <c r="I402" s="1427">
        <v>0.43880000000000002</v>
      </c>
      <c r="J402" s="1427">
        <v>0.43880000000000002</v>
      </c>
      <c r="K402" s="1427">
        <v>0.43880000000000002</v>
      </c>
      <c r="L402" s="1427">
        <v>0.43880000000000002</v>
      </c>
      <c r="M402" s="1427">
        <v>0.43880000000000002</v>
      </c>
    </row>
    <row r="403" spans="1:13">
      <c r="A403" s="1441">
        <v>9.5</v>
      </c>
      <c r="B403" s="1427">
        <v>0.63249999999999995</v>
      </c>
      <c r="C403" s="1427">
        <v>0.63249999999999995</v>
      </c>
      <c r="D403" s="1427">
        <v>0.59030000000000005</v>
      </c>
      <c r="E403" s="1427">
        <v>0.59030000000000005</v>
      </c>
      <c r="F403" s="1427">
        <v>0.59030000000000005</v>
      </c>
      <c r="G403" s="1427">
        <v>0.51470000000000005</v>
      </c>
      <c r="H403" s="1427">
        <v>0.51470000000000005</v>
      </c>
      <c r="I403" s="1427">
        <v>0.4375</v>
      </c>
      <c r="J403" s="1427">
        <v>0.4375</v>
      </c>
      <c r="K403" s="1427">
        <v>0.4375</v>
      </c>
      <c r="L403" s="1427">
        <v>0.4375</v>
      </c>
      <c r="M403" s="1427">
        <v>0.4375</v>
      </c>
    </row>
    <row r="404" spans="1:13">
      <c r="A404" s="1441">
        <v>9.6</v>
      </c>
      <c r="B404" s="1427">
        <v>0.63149999999999995</v>
      </c>
      <c r="C404" s="1427">
        <v>0.63149999999999995</v>
      </c>
      <c r="D404" s="1427">
        <v>0.58909999999999996</v>
      </c>
      <c r="E404" s="1427">
        <v>0.58909999999999996</v>
      </c>
      <c r="F404" s="1427">
        <v>0.58909999999999996</v>
      </c>
      <c r="G404" s="1427">
        <v>0.51329999999999998</v>
      </c>
      <c r="H404" s="1427">
        <v>0.51329999999999998</v>
      </c>
      <c r="I404" s="1427">
        <v>0.43609999999999999</v>
      </c>
      <c r="J404" s="1427">
        <v>0.43609999999999999</v>
      </c>
      <c r="K404" s="1427">
        <v>0.43609999999999999</v>
      </c>
      <c r="L404" s="1427">
        <v>0.43609999999999999</v>
      </c>
      <c r="M404" s="1427">
        <v>0.43609999999999999</v>
      </c>
    </row>
    <row r="405" spans="1:13">
      <c r="A405" s="1441">
        <v>9.6999999999999993</v>
      </c>
      <c r="B405" s="1427">
        <v>0.63049999999999995</v>
      </c>
      <c r="C405" s="1427">
        <v>0.63049999999999995</v>
      </c>
      <c r="D405" s="1427">
        <v>0.58789999999999998</v>
      </c>
      <c r="E405" s="1427">
        <v>0.58789999999999998</v>
      </c>
      <c r="F405" s="1427">
        <v>0.58789999999999998</v>
      </c>
      <c r="G405" s="1427">
        <v>0.51200000000000001</v>
      </c>
      <c r="H405" s="1427">
        <v>0.51200000000000001</v>
      </c>
      <c r="I405" s="1427">
        <v>0.43480000000000002</v>
      </c>
      <c r="J405" s="1427">
        <v>0.43480000000000002</v>
      </c>
      <c r="K405" s="1427">
        <v>0.43480000000000002</v>
      </c>
      <c r="L405" s="1427">
        <v>0.43480000000000002</v>
      </c>
      <c r="M405" s="1427">
        <v>0.43480000000000002</v>
      </c>
    </row>
    <row r="406" spans="1:13">
      <c r="A406" s="1441">
        <v>9.8000000000000007</v>
      </c>
      <c r="B406" s="1427">
        <v>0.62949999999999995</v>
      </c>
      <c r="C406" s="1427">
        <v>0.62949999999999995</v>
      </c>
      <c r="D406" s="1427">
        <v>0.5867</v>
      </c>
      <c r="E406" s="1427">
        <v>0.5867</v>
      </c>
      <c r="F406" s="1427">
        <v>0.5867</v>
      </c>
      <c r="G406" s="1427">
        <v>0.51060000000000005</v>
      </c>
      <c r="H406" s="1427">
        <v>0.51060000000000005</v>
      </c>
      <c r="I406" s="1427">
        <v>0.43340000000000001</v>
      </c>
      <c r="J406" s="1427">
        <v>0.43340000000000001</v>
      </c>
      <c r="K406" s="1427">
        <v>0.43340000000000001</v>
      </c>
      <c r="L406" s="1427">
        <v>0.43340000000000001</v>
      </c>
      <c r="M406" s="1427">
        <v>0.43340000000000001</v>
      </c>
    </row>
    <row r="407" spans="1:13">
      <c r="A407" s="1441">
        <v>9.9</v>
      </c>
      <c r="B407" s="1427">
        <v>0.62849999999999995</v>
      </c>
      <c r="C407" s="1427">
        <v>0.62849999999999995</v>
      </c>
      <c r="D407" s="1427">
        <v>0.58550000000000002</v>
      </c>
      <c r="E407" s="1427">
        <v>0.58550000000000002</v>
      </c>
      <c r="F407" s="1427">
        <v>0.58550000000000002</v>
      </c>
      <c r="G407" s="1427">
        <v>0.50919999999999999</v>
      </c>
      <c r="H407" s="1427">
        <v>0.50919999999999999</v>
      </c>
      <c r="I407" s="1427">
        <v>0.432</v>
      </c>
      <c r="J407" s="1427">
        <v>0.432</v>
      </c>
      <c r="K407" s="1427">
        <v>0.432</v>
      </c>
      <c r="L407" s="1427">
        <v>0.432</v>
      </c>
      <c r="M407" s="1427">
        <v>0.432</v>
      </c>
    </row>
    <row r="408" spans="1:13">
      <c r="A408" s="1441">
        <v>10</v>
      </c>
      <c r="B408" s="1427">
        <v>0.62749999999999995</v>
      </c>
      <c r="C408" s="1427">
        <v>0.62749999999999995</v>
      </c>
      <c r="D408" s="1427">
        <v>0.58430000000000004</v>
      </c>
      <c r="E408" s="1427">
        <v>0.58430000000000004</v>
      </c>
      <c r="F408" s="1427">
        <v>0.58430000000000004</v>
      </c>
      <c r="G408" s="1427">
        <v>0.50790000000000002</v>
      </c>
      <c r="H408" s="1427">
        <v>0.50790000000000002</v>
      </c>
      <c r="I408" s="1427">
        <v>0.43070000000000003</v>
      </c>
      <c r="J408" s="1427">
        <v>0.43070000000000003</v>
      </c>
      <c r="K408" s="1427">
        <v>0.43070000000000003</v>
      </c>
      <c r="L408" s="1427">
        <v>0.43070000000000003</v>
      </c>
      <c r="M408" s="1427">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27" t="s">
        <v>2579</v>
      </c>
      <c r="C1" s="3527"/>
      <c r="D1" s="3527"/>
      <c r="E1" s="3527"/>
      <c r="F1" s="3527"/>
      <c r="G1" s="3526" t="s">
        <v>2580</v>
      </c>
      <c r="H1" s="3526"/>
      <c r="I1" s="3526"/>
      <c r="J1" s="3526"/>
      <c r="K1" s="3526"/>
      <c r="L1" s="3526"/>
      <c r="N1" s="3526" t="s">
        <v>2581</v>
      </c>
      <c r="O1" s="3526"/>
      <c r="P1" s="3526"/>
      <c r="Q1" s="3526"/>
      <c r="R1" s="2661"/>
      <c r="S1" s="3526" t="s">
        <v>2582</v>
      </c>
      <c r="T1" s="3526"/>
      <c r="U1" s="3526"/>
      <c r="V1" s="3526"/>
      <c r="X1" s="3525" t="s">
        <v>2583</v>
      </c>
      <c r="Y1" s="3526"/>
      <c r="Z1" s="3526"/>
      <c r="AA1" s="3526"/>
      <c r="AB1" s="3526"/>
      <c r="AD1" s="3525" t="s">
        <v>2584</v>
      </c>
      <c r="AE1" s="3526"/>
      <c r="AF1" s="3526"/>
      <c r="AG1" s="3526"/>
      <c r="AH1" s="3526"/>
    </row>
    <row r="2" spans="1:34" s="2662" customFormat="1" ht="14.25" thickBot="1">
      <c r="B2" s="2663" t="s">
        <v>2585</v>
      </c>
      <c r="C2" s="2663" t="s">
        <v>2586</v>
      </c>
      <c r="D2" s="2664" t="s">
        <v>2587</v>
      </c>
      <c r="E2" s="2664" t="s">
        <v>2588</v>
      </c>
      <c r="F2" s="2663" t="s">
        <v>2589</v>
      </c>
      <c r="G2" s="2665"/>
      <c r="H2" s="2666"/>
      <c r="I2" s="2663" t="s">
        <v>2907</v>
      </c>
      <c r="J2" s="2664" t="s">
        <v>2908</v>
      </c>
      <c r="K2" s="2664" t="s">
        <v>2909</v>
      </c>
      <c r="L2" s="2663" t="s">
        <v>2910</v>
      </c>
      <c r="N2" s="2663" t="s">
        <v>2585</v>
      </c>
      <c r="O2" s="2664" t="s">
        <v>2911</v>
      </c>
      <c r="P2" s="2664" t="s">
        <v>1769</v>
      </c>
      <c r="Q2" s="2663" t="s">
        <v>2589</v>
      </c>
      <c r="R2" s="2667"/>
      <c r="S2" s="2663" t="s">
        <v>2585</v>
      </c>
      <c r="T2" s="2664" t="s">
        <v>2911</v>
      </c>
      <c r="U2" s="2664" t="s">
        <v>1769</v>
      </c>
      <c r="V2" s="2663" t="s">
        <v>2589</v>
      </c>
      <c r="X2" s="2663" t="s">
        <v>2590</v>
      </c>
      <c r="Y2" s="2663" t="s">
        <v>2591</v>
      </c>
      <c r="Z2" s="2664" t="s">
        <v>2592</v>
      </c>
      <c r="AA2" s="2664" t="s">
        <v>2593</v>
      </c>
      <c r="AB2" s="2663" t="s">
        <v>2594</v>
      </c>
      <c r="AD2" s="2663" t="s">
        <v>2590</v>
      </c>
      <c r="AE2" s="2663" t="s">
        <v>2591</v>
      </c>
      <c r="AF2" s="2664" t="s">
        <v>2592</v>
      </c>
      <c r="AG2" s="2664" t="s">
        <v>2593</v>
      </c>
      <c r="AH2" s="2663" t="s">
        <v>2594</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2595</v>
      </c>
      <c r="B4" s="2677"/>
      <c r="C4" s="2677"/>
      <c r="D4" s="2677"/>
      <c r="E4" s="2677"/>
      <c r="F4" s="2677"/>
      <c r="G4" s="3528">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2596</v>
      </c>
      <c r="B5" s="2683">
        <f>B6*(1+N5)</f>
        <v>429.62688667359998</v>
      </c>
      <c r="C5" s="2683">
        <f t="shared" ref="C5" si="2">C6*(1+O5)</f>
        <v>318.97763788800006</v>
      </c>
      <c r="D5" s="2998">
        <f>C5</f>
        <v>318.97763788800006</v>
      </c>
      <c r="E5" s="2683">
        <f t="shared" ref="E5:F7" si="3">E6*(1+P5)</f>
        <v>613.03761713879999</v>
      </c>
      <c r="F5" s="2683">
        <f t="shared" si="3"/>
        <v>278.506175276448</v>
      </c>
      <c r="G5" s="3523"/>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2598</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2906</v>
      </c>
      <c r="B6" s="2697">
        <f>B7*(1+N6)</f>
        <v>419.31181600000002</v>
      </c>
      <c r="C6" s="2697">
        <f t="shared" ref="C6" si="7">C7*(1+O6)</f>
        <v>313.95436800000004</v>
      </c>
      <c r="D6" s="2697">
        <f>C6</f>
        <v>313.95436800000004</v>
      </c>
      <c r="E6" s="2697">
        <f t="shared" si="3"/>
        <v>596.63028431999999</v>
      </c>
      <c r="F6" s="2697">
        <f t="shared" si="3"/>
        <v>274.74220703999998</v>
      </c>
      <c r="G6" s="3523"/>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2597</v>
      </c>
      <c r="B7" s="2697">
        <f>B8*(1+N7)</f>
        <v>405.524</v>
      </c>
      <c r="C7" s="2697">
        <f t="shared" ref="C7" si="11">C8*(1+O7)</f>
        <v>307.79840000000002</v>
      </c>
      <c r="D7" s="2697">
        <f>C7</f>
        <v>307.79840000000002</v>
      </c>
      <c r="E7" s="2697">
        <f t="shared" si="3"/>
        <v>574.67759999999998</v>
      </c>
      <c r="F7" s="2697">
        <f t="shared" si="3"/>
        <v>270.20280000000002</v>
      </c>
      <c r="G7" s="3524"/>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2599</v>
      </c>
      <c r="B8" s="2689">
        <v>392</v>
      </c>
      <c r="C8" s="2689">
        <v>302</v>
      </c>
      <c r="D8" s="2689">
        <f>C8</f>
        <v>302</v>
      </c>
      <c r="E8" s="2689">
        <v>553</v>
      </c>
      <c r="F8" s="2690">
        <v>266</v>
      </c>
      <c r="G8" s="3528">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1078</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23"/>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1068</v>
      </c>
      <c r="B10" s="2697">
        <f t="shared" si="14"/>
        <v>360.06949782209392</v>
      </c>
      <c r="C10" s="2697">
        <f t="shared" si="14"/>
        <v>289.84672674747821</v>
      </c>
      <c r="D10" s="2697">
        <f t="shared" si="15"/>
        <v>289.84672674747821</v>
      </c>
      <c r="E10" s="2697">
        <f t="shared" si="16"/>
        <v>501.06543001181495</v>
      </c>
      <c r="F10" s="2697">
        <f t="shared" si="16"/>
        <v>256.82882500744967</v>
      </c>
      <c r="G10" s="3523"/>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1077</v>
      </c>
      <c r="B11" s="2697">
        <f t="shared" si="14"/>
        <v>346.720748986128</v>
      </c>
      <c r="C11" s="2697">
        <f t="shared" si="14"/>
        <v>284.30282172386285</v>
      </c>
      <c r="D11" s="2697">
        <f t="shared" si="15"/>
        <v>284.30282172386285</v>
      </c>
      <c r="E11" s="2697">
        <f t="shared" si="16"/>
        <v>479.58023546306947</v>
      </c>
      <c r="F11" s="2697">
        <f t="shared" si="16"/>
        <v>253.25788877571213</v>
      </c>
      <c r="G11" s="3524"/>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1076</v>
      </c>
      <c r="B12" s="2689">
        <v>333</v>
      </c>
      <c r="C12" s="2689">
        <v>277</v>
      </c>
      <c r="D12" s="2689">
        <f t="shared" si="15"/>
        <v>277</v>
      </c>
      <c r="E12" s="2689">
        <v>459</v>
      </c>
      <c r="F12" s="2690">
        <v>249</v>
      </c>
      <c r="G12" s="3522">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1075</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23"/>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1074</v>
      </c>
      <c r="B14" s="2697">
        <f t="shared" si="18"/>
        <v>322.34053690220776</v>
      </c>
      <c r="C14" s="2697">
        <f t="shared" si="18"/>
        <v>271.46160770422546</v>
      </c>
      <c r="D14" s="2697">
        <f t="shared" si="15"/>
        <v>271.46160770422546</v>
      </c>
      <c r="E14" s="2697">
        <f t="shared" si="19"/>
        <v>442.69434542172456</v>
      </c>
      <c r="F14" s="2697">
        <f t="shared" si="19"/>
        <v>241.34030753190925</v>
      </c>
      <c r="G14" s="3523"/>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1073</v>
      </c>
      <c r="B15" s="2697">
        <f t="shared" si="18"/>
        <v>319.87748030386797</v>
      </c>
      <c r="C15" s="2697">
        <f t="shared" si="18"/>
        <v>269.60135833173649</v>
      </c>
      <c r="D15" s="2697">
        <f t="shared" si="15"/>
        <v>269.60135833173649</v>
      </c>
      <c r="E15" s="2697">
        <f t="shared" si="19"/>
        <v>439.18089823583784</v>
      </c>
      <c r="F15" s="2697">
        <f t="shared" si="19"/>
        <v>239.23503918706311</v>
      </c>
      <c r="G15" s="3524"/>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1072</v>
      </c>
      <c r="B16" s="2710">
        <v>318</v>
      </c>
      <c r="C16" s="2710">
        <v>268</v>
      </c>
      <c r="D16" s="2710">
        <f t="shared" si="15"/>
        <v>268</v>
      </c>
      <c r="E16" s="2710">
        <v>437</v>
      </c>
      <c r="F16" s="2711">
        <v>237</v>
      </c>
      <c r="G16" s="3522">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1071</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23"/>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1070</v>
      </c>
      <c r="B18" s="2697">
        <f t="shared" si="20"/>
        <v>314.72141172386546</v>
      </c>
      <c r="C18" s="2697">
        <f t="shared" si="20"/>
        <v>263.03901319069001</v>
      </c>
      <c r="D18" s="2697">
        <f t="shared" si="15"/>
        <v>263.03901319069001</v>
      </c>
      <c r="E18" s="2697">
        <f t="shared" si="21"/>
        <v>433.65745506782821</v>
      </c>
      <c r="F18" s="2697">
        <f t="shared" si="21"/>
        <v>233.23005080045735</v>
      </c>
      <c r="G18" s="3523"/>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1069</v>
      </c>
      <c r="B19" s="2715">
        <f t="shared" si="20"/>
        <v>307.34512863658733</v>
      </c>
      <c r="C19" s="2715">
        <f t="shared" si="20"/>
        <v>257.80556031626975</v>
      </c>
      <c r="D19" s="2715">
        <f t="shared" si="15"/>
        <v>257.80556031626975</v>
      </c>
      <c r="E19" s="2715">
        <f t="shared" si="21"/>
        <v>422.70928459677179</v>
      </c>
      <c r="F19" s="2715">
        <f t="shared" si="21"/>
        <v>229.73803270336617</v>
      </c>
      <c r="G19" s="3524"/>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2802</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2600</v>
      </c>
      <c r="B20" s="2689">
        <v>299</v>
      </c>
      <c r="C20" s="2689">
        <v>252</v>
      </c>
      <c r="D20" s="2689">
        <f t="shared" si="15"/>
        <v>252</v>
      </c>
      <c r="E20" s="2689">
        <v>409</v>
      </c>
      <c r="F20" s="2690">
        <v>227</v>
      </c>
      <c r="G20" s="3529">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2601</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0"/>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2602</v>
      </c>
      <c r="B22" s="2697">
        <f t="shared" si="24"/>
        <v>288.2649053828776</v>
      </c>
      <c r="C22" s="2697">
        <f t="shared" si="24"/>
        <v>243.64564425013293</v>
      </c>
      <c r="D22" s="2697">
        <f t="shared" si="15"/>
        <v>243.64564425013293</v>
      </c>
      <c r="E22" s="2697">
        <f t="shared" si="25"/>
        <v>393.31080825986544</v>
      </c>
      <c r="F22" s="2697">
        <f t="shared" si="25"/>
        <v>223.07903790551154</v>
      </c>
      <c r="G22" s="3530"/>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2603</v>
      </c>
      <c r="B23" s="2697">
        <f t="shared" si="24"/>
        <v>282.50186729015837</v>
      </c>
      <c r="C23" s="2697">
        <f t="shared" si="24"/>
        <v>238.09796174155468</v>
      </c>
      <c r="D23" s="2697">
        <f t="shared" si="15"/>
        <v>238.09796174155468</v>
      </c>
      <c r="E23" s="2697">
        <f t="shared" si="25"/>
        <v>385.33438646014054</v>
      </c>
      <c r="F23" s="2697">
        <f t="shared" si="25"/>
        <v>221.55034055567739</v>
      </c>
      <c r="G23" s="3531"/>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2604</v>
      </c>
      <c r="B24" s="2731">
        <v>278</v>
      </c>
      <c r="C24" s="2731">
        <v>234</v>
      </c>
      <c r="D24" s="2731">
        <f t="shared" si="15"/>
        <v>234</v>
      </c>
      <c r="E24" s="2731">
        <v>379</v>
      </c>
      <c r="F24" s="2732">
        <v>220</v>
      </c>
      <c r="G24" s="3522">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2605</v>
      </c>
      <c r="B25" s="2697">
        <f>B24/(1+N24)</f>
        <v>275.49301357645425</v>
      </c>
      <c r="C25" s="2697">
        <f>C24/(1+O24)</f>
        <v>232.41954707985698</v>
      </c>
      <c r="D25" s="2697">
        <f t="shared" si="15"/>
        <v>232.41954707985698</v>
      </c>
      <c r="E25" s="2697">
        <f t="shared" ref="E25:F27" si="26">E24/(1+P24)</f>
        <v>375.32184591008121</v>
      </c>
      <c r="F25" s="2697">
        <f t="shared" si="26"/>
        <v>218.03766105054513</v>
      </c>
      <c r="G25" s="3523"/>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2606</v>
      </c>
      <c r="B26" s="2697">
        <f>B25/(1+N25)</f>
        <v>275.24529281292263</v>
      </c>
      <c r="C26" s="2697">
        <f>C25/(1+O25)</f>
        <v>231.74747938962707</v>
      </c>
      <c r="D26" s="2697">
        <f t="shared" si="15"/>
        <v>231.74747938962707</v>
      </c>
      <c r="E26" s="2697">
        <f t="shared" si="26"/>
        <v>375.35938184826603</v>
      </c>
      <c r="F26" s="2697">
        <f t="shared" si="26"/>
        <v>216.78033510692495</v>
      </c>
      <c r="G26" s="3523"/>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2607</v>
      </c>
      <c r="B27" s="2697">
        <f>B26/(1+N26)</f>
        <v>275.19025476197027</v>
      </c>
      <c r="C27" s="2733">
        <v>232</v>
      </c>
      <c r="D27" s="2733">
        <f t="shared" si="15"/>
        <v>232</v>
      </c>
      <c r="E27" s="2697">
        <f t="shared" si="26"/>
        <v>375.65990977608692</v>
      </c>
      <c r="F27" s="2697">
        <f t="shared" si="26"/>
        <v>214.12518283971252</v>
      </c>
      <c r="G27" s="3524"/>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2608</v>
      </c>
      <c r="B28" s="2689">
        <v>275</v>
      </c>
      <c r="C28" s="2689">
        <v>232</v>
      </c>
      <c r="D28" s="2689">
        <f t="shared" si="15"/>
        <v>232</v>
      </c>
      <c r="E28" s="2689">
        <v>376</v>
      </c>
      <c r="F28" s="2690">
        <v>213</v>
      </c>
      <c r="G28" s="3522">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2609</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23">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2610</v>
      </c>
      <c r="B30" s="2697">
        <f t="shared" si="27"/>
        <v>275.19335084830601</v>
      </c>
      <c r="C30" s="2697">
        <f t="shared" si="27"/>
        <v>230.18088050139744</v>
      </c>
      <c r="D30" s="2697">
        <f t="shared" si="15"/>
        <v>230.18088050139744</v>
      </c>
      <c r="E30" s="2697">
        <f t="shared" si="28"/>
        <v>377.58482925212331</v>
      </c>
      <c r="F30" s="2697">
        <f t="shared" si="28"/>
        <v>210.90687997847917</v>
      </c>
      <c r="G30" s="3523">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2611</v>
      </c>
      <c r="B31" s="2697">
        <f t="shared" si="27"/>
        <v>276.29854502841971</v>
      </c>
      <c r="C31" s="2697">
        <f t="shared" si="27"/>
        <v>229.79023709833027</v>
      </c>
      <c r="D31" s="2697">
        <f t="shared" si="15"/>
        <v>229.79023709833027</v>
      </c>
      <c r="E31" s="2697">
        <f t="shared" si="28"/>
        <v>379.78759731655936</v>
      </c>
      <c r="F31" s="2697">
        <f t="shared" si="28"/>
        <v>211.32953905659235</v>
      </c>
      <c r="G31" s="3524">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2612</v>
      </c>
      <c r="B32" s="2689">
        <v>269</v>
      </c>
      <c r="C32" s="2689">
        <v>221</v>
      </c>
      <c r="D32" s="2689">
        <f t="shared" si="15"/>
        <v>221</v>
      </c>
      <c r="E32" s="2689">
        <v>373</v>
      </c>
      <c r="F32" s="2690">
        <v>196</v>
      </c>
      <c r="G32" s="3522">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2613</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23">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2614</v>
      </c>
      <c r="B34" s="2697">
        <f t="shared" si="29"/>
        <v>242.95398227588385</v>
      </c>
      <c r="C34" s="2697">
        <f t="shared" si="29"/>
        <v>199.59137053614126</v>
      </c>
      <c r="D34" s="2697">
        <f t="shared" si="15"/>
        <v>199.59137053614126</v>
      </c>
      <c r="E34" s="2697">
        <f t="shared" si="30"/>
        <v>335.92189522342125</v>
      </c>
      <c r="F34" s="2697">
        <f t="shared" si="30"/>
        <v>183.10139991109489</v>
      </c>
      <c r="G34" s="3523">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2615</v>
      </c>
      <c r="B35" s="2697">
        <f t="shared" si="29"/>
        <v>232.06990378821649</v>
      </c>
      <c r="C35" s="2697">
        <f t="shared" si="29"/>
        <v>192.74878854286936</v>
      </c>
      <c r="D35" s="2697">
        <f t="shared" si="15"/>
        <v>192.74878854286936</v>
      </c>
      <c r="E35" s="2697">
        <f t="shared" si="30"/>
        <v>319.71247284992984</v>
      </c>
      <c r="F35" s="2697">
        <f t="shared" si="30"/>
        <v>175.67053622862409</v>
      </c>
      <c r="G35" s="3524">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2616</v>
      </c>
      <c r="B36" s="2689">
        <v>220</v>
      </c>
      <c r="C36" s="2689">
        <v>187</v>
      </c>
      <c r="D36" s="2689">
        <f t="shared" si="15"/>
        <v>187</v>
      </c>
      <c r="E36" s="2689">
        <v>301</v>
      </c>
      <c r="F36" s="2690">
        <v>168</v>
      </c>
      <c r="G36" s="3522">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2617</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23">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2618</v>
      </c>
      <c r="B38" s="2697">
        <f t="shared" si="31"/>
        <v>210.630522469011</v>
      </c>
      <c r="C38" s="2697">
        <f t="shared" si="31"/>
        <v>181.69567812247232</v>
      </c>
      <c r="D38" s="2697">
        <f t="shared" si="15"/>
        <v>181.69567812247232</v>
      </c>
      <c r="E38" s="2697">
        <f t="shared" si="32"/>
        <v>286.13517466736738</v>
      </c>
      <c r="F38" s="2697">
        <f t="shared" si="32"/>
        <v>165.47535084591149</v>
      </c>
      <c r="G38" s="3523">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2619</v>
      </c>
      <c r="B39" s="2697">
        <f t="shared" si="31"/>
        <v>208.83454537875372</v>
      </c>
      <c r="C39" s="2697">
        <f t="shared" si="31"/>
        <v>183.77230517090351</v>
      </c>
      <c r="D39" s="2697">
        <f t="shared" si="15"/>
        <v>183.77230517090351</v>
      </c>
      <c r="E39" s="2697">
        <f t="shared" si="32"/>
        <v>281.10342338870947</v>
      </c>
      <c r="F39" s="2697">
        <f t="shared" si="32"/>
        <v>168.97309388942256</v>
      </c>
      <c r="G39" s="3524">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2620</v>
      </c>
      <c r="B40" s="2731">
        <v>214</v>
      </c>
      <c r="C40" s="2731">
        <v>188</v>
      </c>
      <c r="D40" s="2731">
        <f t="shared" si="15"/>
        <v>188</v>
      </c>
      <c r="E40" s="2731">
        <v>289</v>
      </c>
      <c r="F40" s="2732">
        <v>166</v>
      </c>
      <c r="G40" s="3522">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2621</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23">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2622</v>
      </c>
      <c r="B42" s="2697">
        <f t="shared" si="33"/>
        <v>206.31694671589116</v>
      </c>
      <c r="C42" s="2697">
        <f t="shared" si="33"/>
        <v>183.61041121036101</v>
      </c>
      <c r="D42" s="2697">
        <f t="shared" si="15"/>
        <v>183.61041121036101</v>
      </c>
      <c r="E42" s="2697">
        <f t="shared" si="34"/>
        <v>276.66850301795557</v>
      </c>
      <c r="F42" s="2697">
        <f t="shared" si="34"/>
        <v>165.1360938278614</v>
      </c>
      <c r="G42" s="3523">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2623</v>
      </c>
      <c r="B43" s="2734">
        <f t="shared" si="33"/>
        <v>196.62341248059772</v>
      </c>
      <c r="C43" s="2734">
        <f t="shared" si="33"/>
        <v>170.99125648199012</v>
      </c>
      <c r="D43" s="2734">
        <f t="shared" si="15"/>
        <v>170.99125648199012</v>
      </c>
      <c r="E43" s="2734">
        <f t="shared" si="34"/>
        <v>266.07857570490052</v>
      </c>
      <c r="F43" s="2734">
        <f t="shared" si="34"/>
        <v>154.53499328828505</v>
      </c>
      <c r="G43" s="3524">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2624</v>
      </c>
      <c r="B44" s="2689">
        <v>188</v>
      </c>
      <c r="C44" s="2689">
        <v>165</v>
      </c>
      <c r="D44" s="2689">
        <f t="shared" si="15"/>
        <v>165</v>
      </c>
      <c r="E44" s="2689">
        <v>254</v>
      </c>
      <c r="F44" s="2690">
        <v>148</v>
      </c>
      <c r="G44" s="3522">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2625</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23">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2626</v>
      </c>
      <c r="B46" s="2697">
        <f t="shared" si="37"/>
        <v>168.82017748715555</v>
      </c>
      <c r="C46" s="2697">
        <f t="shared" si="37"/>
        <v>148.06267029972753</v>
      </c>
      <c r="D46" s="2697">
        <f t="shared" si="15"/>
        <v>148.06267029972753</v>
      </c>
      <c r="E46" s="2697">
        <f t="shared" si="38"/>
        <v>216.46288379323747</v>
      </c>
      <c r="F46" s="2697">
        <f t="shared" si="38"/>
        <v>134.23529411764704</v>
      </c>
      <c r="G46" s="3523">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2627</v>
      </c>
      <c r="B47" s="2697">
        <f t="shared" si="37"/>
        <v>163.84913591779542</v>
      </c>
      <c r="C47" s="2697">
        <f t="shared" si="37"/>
        <v>145.0283378746594</v>
      </c>
      <c r="D47" s="2697">
        <f t="shared" si="15"/>
        <v>145.0283378746594</v>
      </c>
      <c r="E47" s="2697">
        <f t="shared" si="38"/>
        <v>204.95180722891567</v>
      </c>
      <c r="F47" s="2697">
        <f t="shared" si="38"/>
        <v>125.95920303605313</v>
      </c>
      <c r="G47" s="3524">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2628</v>
      </c>
      <c r="B48" s="2710">
        <v>159</v>
      </c>
      <c r="C48" s="2710">
        <v>141</v>
      </c>
      <c r="D48" s="2710">
        <f t="shared" si="15"/>
        <v>141</v>
      </c>
      <c r="E48" s="2710">
        <v>195</v>
      </c>
      <c r="F48" s="2711">
        <v>122</v>
      </c>
      <c r="G48" s="3522">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2629</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23">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2630</v>
      </c>
      <c r="B50" s="2697">
        <f t="shared" si="41"/>
        <v>146.57412060301507</v>
      </c>
      <c r="C50" s="2697">
        <f t="shared" si="41"/>
        <v>136.46831955922866</v>
      </c>
      <c r="D50" s="2697">
        <f t="shared" si="15"/>
        <v>136.46831955922866</v>
      </c>
      <c r="E50" s="2697">
        <f t="shared" si="42"/>
        <v>166.73864894795128</v>
      </c>
      <c r="F50" s="2697">
        <f t="shared" si="42"/>
        <v>115.05882352941177</v>
      </c>
      <c r="G50" s="3523">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2631</v>
      </c>
      <c r="B51" s="2697">
        <f t="shared" si="41"/>
        <v>144.04145728643215</v>
      </c>
      <c r="C51" s="2697">
        <f t="shared" si="41"/>
        <v>136.12396694214877</v>
      </c>
      <c r="D51" s="2697">
        <f t="shared" si="15"/>
        <v>136.12396694214877</v>
      </c>
      <c r="E51" s="2697">
        <f t="shared" si="42"/>
        <v>158.32225913621264</v>
      </c>
      <c r="F51" s="2697">
        <f t="shared" si="42"/>
        <v>114.04278074866311</v>
      </c>
      <c r="G51" s="3524">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2632</v>
      </c>
      <c r="B52" s="2710">
        <v>138</v>
      </c>
      <c r="C52" s="2710">
        <v>131</v>
      </c>
      <c r="D52" s="2710">
        <f t="shared" si="15"/>
        <v>131</v>
      </c>
      <c r="E52" s="2710">
        <v>155</v>
      </c>
      <c r="F52" s="2711">
        <v>114</v>
      </c>
      <c r="G52" s="3522">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2633</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23">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2634</v>
      </c>
      <c r="B54" s="2697">
        <f t="shared" si="45"/>
        <v>124.29032258064517</v>
      </c>
      <c r="C54" s="2697">
        <f t="shared" si="45"/>
        <v>123.8968609865471</v>
      </c>
      <c r="D54" s="2697">
        <f t="shared" si="15"/>
        <v>123.8968609865471</v>
      </c>
      <c r="E54" s="2697">
        <f t="shared" si="46"/>
        <v>138.00507614213197</v>
      </c>
      <c r="F54" s="2697">
        <f t="shared" si="46"/>
        <v>107.96106557377048</v>
      </c>
      <c r="G54" s="3523">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2635</v>
      </c>
      <c r="B55" s="2697">
        <f t="shared" si="45"/>
        <v>122.57204301075269</v>
      </c>
      <c r="C55" s="2697">
        <f t="shared" si="45"/>
        <v>123.4932735426009</v>
      </c>
      <c r="D55" s="2697">
        <f t="shared" si="15"/>
        <v>123.4932735426009</v>
      </c>
      <c r="E55" s="2697">
        <f t="shared" si="46"/>
        <v>129.82233502538071</v>
      </c>
      <c r="F55" s="2697">
        <f t="shared" si="46"/>
        <v>107.39446721311475</v>
      </c>
      <c r="G55" s="3524">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2636</v>
      </c>
      <c r="B56" s="2731">
        <v>121</v>
      </c>
      <c r="C56" s="2731">
        <v>122</v>
      </c>
      <c r="D56" s="2731">
        <f t="shared" si="15"/>
        <v>122</v>
      </c>
      <c r="E56" s="2731">
        <v>124</v>
      </c>
      <c r="F56" s="2732">
        <v>107</v>
      </c>
      <c r="G56" s="3522">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2637</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23">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2638</v>
      </c>
      <c r="B58" s="2697">
        <f t="shared" si="49"/>
        <v>116.99099099099099</v>
      </c>
      <c r="C58" s="2697">
        <f t="shared" si="49"/>
        <v>118.84848484848486</v>
      </c>
      <c r="D58" s="2697">
        <f t="shared" si="15"/>
        <v>118.84848484848486</v>
      </c>
      <c r="E58" s="2697">
        <f t="shared" si="50"/>
        <v>117.60960960960961</v>
      </c>
      <c r="F58" s="2697">
        <f t="shared" si="50"/>
        <v>104</v>
      </c>
      <c r="G58" s="3523">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2639</v>
      </c>
      <c r="B59" s="2734">
        <f t="shared" si="49"/>
        <v>112.48648648648648</v>
      </c>
      <c r="C59" s="2734">
        <f t="shared" si="49"/>
        <v>115.21212121212122</v>
      </c>
      <c r="D59" s="2734">
        <f t="shared" si="15"/>
        <v>115.21212121212122</v>
      </c>
      <c r="E59" s="2734">
        <f t="shared" si="50"/>
        <v>110.4024024024024</v>
      </c>
      <c r="F59" s="2734">
        <f t="shared" si="50"/>
        <v>104</v>
      </c>
      <c r="G59" s="3524">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2640</v>
      </c>
      <c r="B60" s="2752">
        <v>111</v>
      </c>
      <c r="C60" s="2752">
        <v>114</v>
      </c>
      <c r="D60" s="2752">
        <f t="shared" si="15"/>
        <v>114</v>
      </c>
      <c r="E60" s="2752">
        <v>108</v>
      </c>
      <c r="F60" s="2753">
        <v>104</v>
      </c>
      <c r="G60" s="3522">
        <v>2003</v>
      </c>
      <c r="H60" s="2742">
        <v>4</v>
      </c>
      <c r="I60" s="2754"/>
      <c r="J60" s="2754"/>
      <c r="K60" s="2754"/>
      <c r="L60" s="2754"/>
      <c r="N60" s="2755"/>
      <c r="O60" s="2754"/>
      <c r="P60" s="2754"/>
      <c r="Q60" s="2754"/>
      <c r="S60" s="2755"/>
      <c r="T60" s="2754"/>
      <c r="U60" s="2754"/>
      <c r="V60" s="2754"/>
      <c r="X60" s="2746"/>
      <c r="Y60" s="2746"/>
      <c r="Z60" s="2746"/>
    </row>
    <row r="61" spans="1:26">
      <c r="A61" s="2676" t="s">
        <v>2641</v>
      </c>
      <c r="B61" s="2756">
        <f t="shared" ref="B61:C63" si="51">B62+(B$60-B$64)/4</f>
        <v>109.75</v>
      </c>
      <c r="C61" s="2756">
        <f t="shared" si="51"/>
        <v>112.25</v>
      </c>
      <c r="D61" s="2756">
        <f t="shared" si="15"/>
        <v>112.25</v>
      </c>
      <c r="E61" s="2756">
        <f t="shared" ref="E61:F63" si="52">E62+(E$60-E$64)/4</f>
        <v>107.25</v>
      </c>
      <c r="F61" s="2756">
        <f t="shared" si="52"/>
        <v>103.5</v>
      </c>
      <c r="G61" s="3523">
        <v>2003</v>
      </c>
      <c r="H61" s="2707">
        <v>3</v>
      </c>
      <c r="I61" s="2754"/>
      <c r="J61" s="2754"/>
      <c r="K61" s="2754"/>
      <c r="L61" s="2754"/>
      <c r="X61" s="2746"/>
      <c r="Y61" s="2746"/>
      <c r="Z61" s="2746"/>
    </row>
    <row r="62" spans="1:26">
      <c r="A62" s="2676" t="s">
        <v>2642</v>
      </c>
      <c r="B62" s="2756">
        <f t="shared" si="51"/>
        <v>108.5</v>
      </c>
      <c r="C62" s="2756">
        <f t="shared" si="51"/>
        <v>110.5</v>
      </c>
      <c r="D62" s="2756">
        <f t="shared" si="15"/>
        <v>110.5</v>
      </c>
      <c r="E62" s="2756">
        <f t="shared" si="52"/>
        <v>106.5</v>
      </c>
      <c r="F62" s="2756">
        <f t="shared" si="52"/>
        <v>103</v>
      </c>
      <c r="G62" s="3523">
        <v>2003</v>
      </c>
      <c r="H62" s="2682">
        <v>2</v>
      </c>
      <c r="I62" s="2754"/>
      <c r="J62" s="2754"/>
      <c r="K62" s="2754"/>
      <c r="L62" s="2754"/>
      <c r="X62" s="2746"/>
      <c r="Y62" s="2746"/>
      <c r="Z62" s="2746"/>
    </row>
    <row r="63" spans="1:26" ht="13.5" thickBot="1">
      <c r="A63" s="2676" t="s">
        <v>2643</v>
      </c>
      <c r="B63" s="2756">
        <f t="shared" si="51"/>
        <v>107.25</v>
      </c>
      <c r="C63" s="2756">
        <f t="shared" si="51"/>
        <v>108.75</v>
      </c>
      <c r="D63" s="2756">
        <f t="shared" si="15"/>
        <v>108.75</v>
      </c>
      <c r="E63" s="2756">
        <f t="shared" si="52"/>
        <v>105.75</v>
      </c>
      <c r="F63" s="2756">
        <f t="shared" si="52"/>
        <v>102.5</v>
      </c>
      <c r="G63" s="3524">
        <v>2003</v>
      </c>
      <c r="H63" s="2757">
        <v>1</v>
      </c>
      <c r="I63" s="2754"/>
      <c r="J63" s="2754"/>
      <c r="K63" s="2754"/>
      <c r="L63" s="2754"/>
      <c r="S63" s="2692"/>
      <c r="T63" s="2693"/>
      <c r="U63" s="2693"/>
      <c r="X63" s="2746"/>
      <c r="Y63" s="2746"/>
      <c r="Z63" s="2746"/>
    </row>
    <row r="64" spans="1:26" ht="13.5" thickBot="1">
      <c r="A64" s="2676" t="s">
        <v>2644</v>
      </c>
      <c r="B64" s="2758">
        <v>106</v>
      </c>
      <c r="C64" s="2758">
        <v>107</v>
      </c>
      <c r="D64" s="2758">
        <f t="shared" si="15"/>
        <v>107</v>
      </c>
      <c r="E64" s="2758">
        <v>105</v>
      </c>
      <c r="F64" s="2759">
        <v>102</v>
      </c>
      <c r="G64" s="3522">
        <v>2002</v>
      </c>
      <c r="H64" s="2702">
        <v>4</v>
      </c>
      <c r="I64" s="2754"/>
      <c r="J64" s="2754"/>
      <c r="K64" s="2754"/>
      <c r="L64" s="2754"/>
      <c r="N64" s="2755"/>
      <c r="O64" s="2754"/>
      <c r="P64" s="2754"/>
      <c r="Q64" s="2754"/>
      <c r="S64" s="2755"/>
      <c r="T64" s="2754"/>
      <c r="U64" s="2754"/>
      <c r="V64" s="2754"/>
      <c r="X64" s="2746"/>
      <c r="Y64" s="2746"/>
      <c r="Z64" s="2746"/>
    </row>
    <row r="65" spans="1:26">
      <c r="A65" s="2676" t="s">
        <v>2645</v>
      </c>
      <c r="B65" s="2756">
        <f t="shared" ref="B65:C67" si="53">B66+(B$64-B$68)/4</f>
        <v>105</v>
      </c>
      <c r="C65" s="2756">
        <f t="shared" si="53"/>
        <v>106</v>
      </c>
      <c r="D65" s="2756">
        <f t="shared" si="15"/>
        <v>106</v>
      </c>
      <c r="E65" s="2756">
        <f t="shared" ref="E65:F67" si="54">E66+(E$64-E$68)/4</f>
        <v>104.5</v>
      </c>
      <c r="F65" s="2756">
        <f t="shared" si="54"/>
        <v>101.5</v>
      </c>
      <c r="G65" s="3523">
        <v>2002</v>
      </c>
      <c r="H65" s="2707">
        <v>3</v>
      </c>
      <c r="I65" s="2754"/>
      <c r="J65" s="2754"/>
      <c r="K65" s="2754"/>
      <c r="L65" s="2754"/>
      <c r="X65" s="2746"/>
      <c r="Y65" s="2746"/>
      <c r="Z65" s="2746"/>
    </row>
    <row r="66" spans="1:26">
      <c r="A66" s="2676" t="s">
        <v>2646</v>
      </c>
      <c r="B66" s="2756">
        <f t="shared" si="53"/>
        <v>104</v>
      </c>
      <c r="C66" s="2756">
        <f t="shared" si="53"/>
        <v>105</v>
      </c>
      <c r="D66" s="2756">
        <f t="shared" si="15"/>
        <v>105</v>
      </c>
      <c r="E66" s="2756">
        <f t="shared" si="54"/>
        <v>104</v>
      </c>
      <c r="F66" s="2756">
        <f t="shared" si="54"/>
        <v>101</v>
      </c>
      <c r="G66" s="3523">
        <v>2002</v>
      </c>
      <c r="H66" s="2682">
        <v>2</v>
      </c>
      <c r="I66" s="2754"/>
      <c r="J66" s="2754"/>
      <c r="K66" s="2754"/>
      <c r="L66" s="2754"/>
      <c r="X66" s="2746"/>
      <c r="Y66" s="2746"/>
      <c r="Z66" s="2746"/>
    </row>
    <row r="67" spans="1:26" s="2718" customFormat="1" ht="13.5" thickBot="1">
      <c r="A67" s="2714" t="s">
        <v>2647</v>
      </c>
      <c r="B67" s="2760">
        <f t="shared" si="53"/>
        <v>103</v>
      </c>
      <c r="C67" s="2760">
        <f t="shared" si="53"/>
        <v>104</v>
      </c>
      <c r="D67" s="2760">
        <f t="shared" si="15"/>
        <v>104</v>
      </c>
      <c r="E67" s="2760">
        <f t="shared" si="54"/>
        <v>103.5</v>
      </c>
      <c r="F67" s="2760">
        <f t="shared" si="54"/>
        <v>100.5</v>
      </c>
      <c r="G67" s="3524">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2648</v>
      </c>
      <c r="G70" s="2770"/>
      <c r="N70" s="2770"/>
      <c r="S70" s="2770"/>
    </row>
    <row r="71" spans="1:26" s="2769" customFormat="1">
      <c r="A71" s="2769" t="s">
        <v>2649</v>
      </c>
      <c r="G71" s="2770"/>
      <c r="N71" s="2770"/>
      <c r="S71" s="2770"/>
    </row>
    <row r="72" spans="1:26" s="2769" customFormat="1">
      <c r="A72" s="2769" t="s">
        <v>2650</v>
      </c>
      <c r="G72" s="2770"/>
      <c r="I72" s="2771"/>
      <c r="J72" s="2771"/>
      <c r="K72" s="2771"/>
      <c r="L72" s="2771"/>
      <c r="N72" s="2772"/>
      <c r="O72" s="2771"/>
      <c r="P72" s="2771"/>
      <c r="Q72" s="2771"/>
      <c r="S72" s="2772"/>
      <c r="T72" s="2771"/>
      <c r="U72" s="2771"/>
      <c r="V72" s="2771"/>
    </row>
    <row r="73" spans="1:26" s="2769" customFormat="1">
      <c r="A73" s="2769" t="s">
        <v>2651</v>
      </c>
      <c r="G73" s="2770"/>
      <c r="N73" s="2770"/>
      <c r="S73" s="2770"/>
    </row>
    <row r="80" spans="1:26" ht="13.5" thickBot="1"/>
    <row r="81" spans="14:22" s="2691" customFormat="1">
      <c r="N81" s="2706"/>
      <c r="S81" s="2773" t="s">
        <v>2652</v>
      </c>
      <c r="T81" s="2774" t="s">
        <v>2653</v>
      </c>
      <c r="U81" s="2774" t="s">
        <v>2654</v>
      </c>
      <c r="V81" s="2774" t="s">
        <v>2655</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2769</v>
      </c>
      <c r="C1" s="2987">
        <f>项目基本情况!D2</f>
        <v>42998</v>
      </c>
      <c r="D1" s="2982" t="s">
        <v>2770</v>
      </c>
      <c r="E1" s="2988">
        <f>'数据-取费表'!B23</f>
        <v>2</v>
      </c>
      <c r="F1" s="2982" t="s">
        <v>2771</v>
      </c>
      <c r="G1" s="2989">
        <f ca="1">INDIRECT("d"&amp;$K$1)/100</f>
        <v>4.7500000000000001E-2</v>
      </c>
      <c r="H1" s="2982" t="s">
        <v>2801</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2772</v>
      </c>
      <c r="E2" s="2924"/>
      <c r="F2" s="2924" t="s">
        <v>2773</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2774</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2775</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2776</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2777</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2778</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2779</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2780</v>
      </c>
      <c r="C10" s="2952"/>
      <c r="D10" s="2952"/>
      <c r="E10" s="2952"/>
      <c r="F10" s="2952"/>
      <c r="G10" s="2952"/>
      <c r="H10" s="2952"/>
      <c r="I10" s="2926"/>
      <c r="J10" s="2926"/>
      <c r="K10" s="2952"/>
      <c r="L10" s="2953" t="s">
        <v>2781</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2782</v>
      </c>
      <c r="C11" s="2957" t="s">
        <v>2783</v>
      </c>
      <c r="D11" s="2958" t="s">
        <v>2784</v>
      </c>
      <c r="E11" s="2959"/>
      <c r="F11" s="2958" t="s">
        <v>2785</v>
      </c>
      <c r="G11" s="2960"/>
      <c r="H11" s="2959"/>
      <c r="I11" s="2958" t="s">
        <v>2786</v>
      </c>
      <c r="J11" s="2959"/>
      <c r="K11" s="2955"/>
      <c r="L11" s="2956" t="s">
        <v>2782</v>
      </c>
      <c r="M11" s="2957" t="s">
        <v>2783</v>
      </c>
      <c r="N11" s="2956" t="s">
        <v>2787</v>
      </c>
      <c r="O11" s="2958" t="s">
        <v>2788</v>
      </c>
      <c r="P11" s="2960"/>
      <c r="Q11" s="2960"/>
      <c r="R11" s="2960"/>
      <c r="S11" s="2960"/>
      <c r="T11" s="2959"/>
      <c r="U11" s="2958" t="s">
        <v>2789</v>
      </c>
      <c r="V11" s="2960"/>
      <c r="W11" s="2959"/>
      <c r="X11" s="2956" t="s">
        <v>2790</v>
      </c>
      <c r="Y11" s="2956" t="s">
        <v>2791</v>
      </c>
      <c r="Z11" s="2956" t="s">
        <v>2792</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2793</v>
      </c>
      <c r="E12" s="2965" t="s">
        <v>2794</v>
      </c>
      <c r="F12" s="2965" t="s">
        <v>2795</v>
      </c>
      <c r="G12" s="2965" t="s">
        <v>2796</v>
      </c>
      <c r="H12" s="2965" t="s">
        <v>2778</v>
      </c>
      <c r="I12" s="2966" t="s">
        <v>2797</v>
      </c>
      <c r="J12" s="2966" t="s">
        <v>2797</v>
      </c>
      <c r="K12" s="2962"/>
      <c r="L12" s="2963"/>
      <c r="M12" s="2964"/>
      <c r="N12" s="2963"/>
      <c r="O12" s="2966" t="s">
        <v>2798</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2799</v>
      </c>
      <c r="C13" s="2970">
        <v>42301</v>
      </c>
      <c r="D13" s="2971">
        <v>4.3499999999999996</v>
      </c>
      <c r="E13" s="2971">
        <v>4.3499999999999996</v>
      </c>
      <c r="F13" s="2971">
        <v>4.75</v>
      </c>
      <c r="G13" s="2971">
        <v>4.75</v>
      </c>
      <c r="H13" s="2971">
        <v>4.9000000000000004</v>
      </c>
      <c r="I13" s="2971">
        <v>2.75</v>
      </c>
      <c r="J13" s="2971">
        <v>3.25</v>
      </c>
      <c r="K13" s="2968"/>
      <c r="L13" s="2969" t="s">
        <v>2799</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2800</v>
      </c>
      <c r="Y42" s="2975" t="s">
        <v>2800</v>
      </c>
      <c r="Z42" s="2975" t="s">
        <v>2800</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2800</v>
      </c>
      <c r="Y43" s="2975" t="s">
        <v>2800</v>
      </c>
      <c r="Z43" s="2975" t="s">
        <v>2800</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2800</v>
      </c>
      <c r="Y44" s="2975" t="s">
        <v>2800</v>
      </c>
      <c r="Z44" s="2975" t="s">
        <v>2800</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2800</v>
      </c>
      <c r="Y45" s="2975" t="s">
        <v>2800</v>
      </c>
      <c r="Z45" s="2975" t="s">
        <v>2800</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2800</v>
      </c>
      <c r="Y46" s="2975" t="s">
        <v>2800</v>
      </c>
      <c r="Z46" s="2975" t="s">
        <v>2800</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2800</v>
      </c>
      <c r="Y47" s="2975" t="s">
        <v>2800</v>
      </c>
      <c r="Z47" s="2975" t="s">
        <v>2800</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2800</v>
      </c>
      <c r="Y48" s="2975" t="s">
        <v>2800</v>
      </c>
      <c r="Z48" s="2975" t="s">
        <v>2800</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2800</v>
      </c>
      <c r="Y49" s="2975" t="s">
        <v>2800</v>
      </c>
      <c r="Z49" s="2975" t="s">
        <v>2800</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2800</v>
      </c>
      <c r="Y50" s="2975" t="s">
        <v>2800</v>
      </c>
      <c r="Z50" s="2975" t="s">
        <v>2800</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2800</v>
      </c>
      <c r="V51" s="2975" t="s">
        <v>2800</v>
      </c>
      <c r="W51" s="2975" t="s">
        <v>2800</v>
      </c>
      <c r="X51" s="2975" t="s">
        <v>2800</v>
      </c>
      <c r="Y51" s="2975" t="s">
        <v>2800</v>
      </c>
      <c r="Z51" s="2975" t="s">
        <v>2800</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2800</v>
      </c>
      <c r="J55" s="2975" t="s">
        <v>2800</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4"/>
    <col min="21" max="22" width="9" style="2309"/>
    <col min="23" max="23" width="9" style="1274"/>
    <col min="24" max="25" width="9" style="2309"/>
    <col min="26" max="44" width="9" style="1274"/>
    <col min="45" max="16384" width="9" style="271"/>
  </cols>
  <sheetData>
    <row r="1" spans="1:44" ht="20.25">
      <c r="A1" s="591" t="s">
        <v>2202</v>
      </c>
      <c r="B1" s="1969"/>
      <c r="C1" s="301"/>
      <c r="D1" s="301"/>
      <c r="E1" s="301"/>
      <c r="F1" s="301"/>
      <c r="G1" s="301"/>
      <c r="H1" s="301"/>
      <c r="I1" s="301"/>
      <c r="J1" s="301"/>
      <c r="K1" s="301"/>
      <c r="L1" s="301"/>
      <c r="M1" s="301"/>
      <c r="N1" s="301"/>
      <c r="O1" s="301"/>
      <c r="P1" s="301"/>
      <c r="Q1" s="301"/>
      <c r="R1" s="1208"/>
      <c r="S1" s="270"/>
      <c r="T1" s="270"/>
      <c r="U1" s="2304"/>
      <c r="V1" s="2304"/>
      <c r="X1" s="2304"/>
      <c r="Y1" s="2304"/>
    </row>
    <row r="2" spans="1:44" ht="15.75">
      <c r="A2" s="382" t="s">
        <v>359</v>
      </c>
      <c r="B2" s="552">
        <f>B23</f>
        <v>880</v>
      </c>
      <c r="C2" s="2020" t="str">
        <f>C23</f>
        <v>万元</v>
      </c>
      <c r="D2" s="301"/>
      <c r="E2" s="301"/>
      <c r="F2" s="301"/>
      <c r="G2" s="301"/>
      <c r="H2" s="301"/>
      <c r="I2" s="301"/>
      <c r="J2" s="301"/>
      <c r="K2" s="301"/>
      <c r="L2" s="301"/>
      <c r="M2" s="301"/>
      <c r="N2" s="301"/>
      <c r="O2" s="301"/>
      <c r="P2" s="301"/>
      <c r="Q2" s="301"/>
      <c r="R2" s="1208"/>
      <c r="S2" s="270"/>
      <c r="T2" s="270"/>
      <c r="U2" s="2304"/>
      <c r="V2" s="2304"/>
      <c r="X2" s="2304"/>
      <c r="Y2" s="2304"/>
    </row>
    <row r="3" spans="1:44" ht="15.75">
      <c r="A3" s="384" t="s">
        <v>360</v>
      </c>
      <c r="B3" s="552">
        <f>B24</f>
        <v>54117</v>
      </c>
      <c r="C3" s="2020" t="s">
        <v>2210</v>
      </c>
      <c r="D3" s="301"/>
      <c r="E3" s="301"/>
      <c r="F3" s="301"/>
      <c r="G3" s="301"/>
      <c r="H3" s="301"/>
      <c r="I3" s="301"/>
      <c r="J3" s="301"/>
      <c r="K3" s="301"/>
      <c r="L3" s="301"/>
      <c r="M3" s="301"/>
      <c r="N3" s="301"/>
      <c r="O3" s="301"/>
      <c r="P3" s="301"/>
      <c r="Q3" s="301"/>
      <c r="R3" s="1208"/>
      <c r="S3" s="270"/>
      <c r="T3" s="270"/>
      <c r="U3" s="2304"/>
      <c r="V3" s="2304"/>
      <c r="X3" s="2304"/>
      <c r="Y3" s="2304"/>
    </row>
    <row r="4" spans="1:44" ht="14.25" customHeight="1" thickBot="1">
      <c r="A4" s="287"/>
      <c r="B4" s="966" t="s">
        <v>533</v>
      </c>
      <c r="C4" s="3535" t="s">
        <v>534</v>
      </c>
      <c r="D4" s="3536"/>
      <c r="E4" s="3536"/>
      <c r="F4" s="3536"/>
      <c r="G4" s="3536"/>
      <c r="H4" s="3536"/>
      <c r="I4" s="3536"/>
      <c r="J4" s="3536"/>
      <c r="K4" s="3536"/>
      <c r="L4" s="3536"/>
      <c r="M4" s="3536"/>
      <c r="N4" s="3536"/>
      <c r="O4" s="3536"/>
      <c r="P4" s="3536"/>
      <c r="Q4" s="3536"/>
      <c r="R4" s="3536"/>
      <c r="S4" s="3537"/>
      <c r="T4" s="966" t="s">
        <v>535</v>
      </c>
      <c r="U4" s="2304"/>
      <c r="V4" s="2304"/>
      <c r="X4" s="2304"/>
      <c r="Y4" s="2304"/>
    </row>
    <row r="5" spans="1:44" s="980" customFormat="1" ht="38.25">
      <c r="A5" s="2322"/>
      <c r="B5" s="975" t="s">
        <v>536</v>
      </c>
      <c r="C5" s="976" t="str">
        <f t="shared" ref="C5:L5" si="0">C6&amp;"(含)"&amp;"-"&amp;D6</f>
        <v>0(含)-100</v>
      </c>
      <c r="D5" s="977" t="str">
        <f t="shared" si="0"/>
        <v>100(含)-200</v>
      </c>
      <c r="E5" s="977" t="str">
        <f t="shared" si="0"/>
        <v>200(含)-300</v>
      </c>
      <c r="F5" s="977" t="str">
        <f t="shared" si="0"/>
        <v>300(含)-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5"/>
      <c r="X5" s="2305"/>
      <c r="Y5" s="2305"/>
      <c r="Z5" s="1275"/>
      <c r="AA5" s="1275"/>
      <c r="AB5" s="1275"/>
      <c r="AC5" s="1275"/>
      <c r="AD5" s="1275"/>
      <c r="AE5" s="1275"/>
      <c r="AF5" s="1275"/>
      <c r="AG5" s="1275"/>
      <c r="AH5" s="1275"/>
      <c r="AI5" s="1275"/>
      <c r="AJ5" s="1275"/>
      <c r="AK5" s="1275"/>
      <c r="AL5" s="1275"/>
      <c r="AM5" s="1275"/>
      <c r="AN5" s="1275"/>
      <c r="AO5" s="1275"/>
      <c r="AP5" s="1275"/>
      <c r="AQ5" s="1275"/>
      <c r="AR5" s="1275"/>
    </row>
    <row r="6" spans="1:44" s="987" customFormat="1">
      <c r="A6" s="2323"/>
      <c r="B6" s="981"/>
      <c r="C6" s="982">
        <v>0</v>
      </c>
      <c r="D6" s="983">
        <v>100</v>
      </c>
      <c r="E6" s="983">
        <v>200</v>
      </c>
      <c r="F6" s="983">
        <v>300</v>
      </c>
      <c r="G6" s="983"/>
      <c r="H6" s="983"/>
      <c r="I6" s="983"/>
      <c r="J6" s="984"/>
      <c r="K6" s="984"/>
      <c r="L6" s="985"/>
      <c r="M6" s="1976"/>
      <c r="N6" s="1978"/>
      <c r="O6" s="983"/>
      <c r="P6" s="983"/>
      <c r="Q6" s="983"/>
      <c r="R6" s="983"/>
      <c r="S6" s="2057"/>
      <c r="T6" s="986"/>
      <c r="U6" s="2305"/>
      <c r="V6" s="2305"/>
      <c r="W6" s="1276"/>
      <c r="X6" s="2305"/>
      <c r="Y6" s="2305"/>
      <c r="Z6" s="1276"/>
      <c r="AA6" s="1276"/>
      <c r="AB6" s="1276"/>
      <c r="AC6" s="1276"/>
      <c r="AD6" s="1276"/>
      <c r="AE6" s="1276"/>
      <c r="AF6" s="1276"/>
      <c r="AG6" s="1276"/>
      <c r="AH6" s="1276"/>
      <c r="AI6" s="1276"/>
      <c r="AJ6" s="1276"/>
      <c r="AK6" s="1276"/>
      <c r="AL6" s="1276"/>
      <c r="AM6" s="1276"/>
      <c r="AN6" s="1276"/>
      <c r="AO6" s="1276"/>
      <c r="AP6" s="1276"/>
      <c r="AQ6" s="1276"/>
      <c r="AR6" s="1276"/>
    </row>
    <row r="7" spans="1:44" s="987" customFormat="1" ht="13.5" thickBot="1">
      <c r="A7" s="2324"/>
      <c r="B7" s="1993"/>
      <c r="C7" s="1994">
        <v>102</v>
      </c>
      <c r="D7" s="1995">
        <v>100</v>
      </c>
      <c r="E7" s="1995">
        <v>98</v>
      </c>
      <c r="F7" s="1995">
        <v>96</v>
      </c>
      <c r="G7" s="1995"/>
      <c r="H7" s="1995"/>
      <c r="I7" s="1995"/>
      <c r="J7" s="1995"/>
      <c r="K7" s="1995"/>
      <c r="L7" s="1995"/>
      <c r="M7" s="1996"/>
      <c r="N7" s="1997"/>
      <c r="O7" s="1995"/>
      <c r="P7" s="1995"/>
      <c r="Q7" s="1995"/>
      <c r="R7" s="1995"/>
      <c r="S7" s="2058"/>
      <c r="T7" s="989"/>
      <c r="U7" s="2305"/>
      <c r="V7" s="2305"/>
      <c r="W7" s="1276"/>
      <c r="X7" s="2305"/>
      <c r="Y7" s="2305"/>
      <c r="Z7" s="1276"/>
      <c r="AA7" s="1276"/>
      <c r="AB7" s="1276"/>
      <c r="AC7" s="1276"/>
      <c r="AD7" s="1276"/>
      <c r="AE7" s="1276"/>
      <c r="AF7" s="1276"/>
      <c r="AG7" s="1276"/>
      <c r="AH7" s="1276"/>
      <c r="AI7" s="1276"/>
      <c r="AJ7" s="1276"/>
      <c r="AK7" s="1276"/>
      <c r="AL7" s="1276"/>
      <c r="AM7" s="1276"/>
      <c r="AN7" s="1276"/>
      <c r="AO7" s="1276"/>
      <c r="AP7" s="1276"/>
      <c r="AQ7" s="1276"/>
      <c r="AR7" s="1276"/>
    </row>
    <row r="8" spans="1:44" s="219" customFormat="1">
      <c r="A8" s="2325"/>
      <c r="B8" s="3125" t="s">
        <v>2954</v>
      </c>
      <c r="C8" s="3126" t="s">
        <v>2955</v>
      </c>
      <c r="D8" s="3127" t="s">
        <v>2956</v>
      </c>
      <c r="E8" s="1999"/>
      <c r="F8" s="1999"/>
      <c r="G8" s="1999"/>
      <c r="H8" s="1999"/>
      <c r="I8" s="1999"/>
      <c r="J8" s="1999"/>
      <c r="K8" s="1999"/>
      <c r="L8" s="2000"/>
      <c r="M8" s="2001"/>
      <c r="N8" s="2001"/>
      <c r="O8" s="1999"/>
      <c r="P8" s="1999"/>
      <c r="Q8" s="1999"/>
      <c r="R8" s="1999"/>
      <c r="S8" s="2059"/>
      <c r="T8" s="2002">
        <v>1</v>
      </c>
      <c r="U8" s="2305"/>
      <c r="V8" s="2305"/>
      <c r="W8" s="1277"/>
      <c r="X8" s="2305"/>
      <c r="Y8" s="2305"/>
      <c r="Z8" s="1277"/>
      <c r="AA8" s="1277"/>
      <c r="AB8" s="1277"/>
      <c r="AC8" s="1277"/>
      <c r="AD8" s="1277"/>
      <c r="AE8" s="1277"/>
      <c r="AF8" s="1277"/>
      <c r="AG8" s="1277"/>
      <c r="AH8" s="1277"/>
      <c r="AI8" s="1277"/>
      <c r="AJ8" s="1277"/>
      <c r="AK8" s="1277"/>
      <c r="AL8" s="1277"/>
      <c r="AM8" s="1277"/>
      <c r="AN8" s="1277"/>
      <c r="AO8" s="1277"/>
      <c r="AP8" s="1277"/>
      <c r="AQ8" s="1277"/>
      <c r="AR8" s="1277"/>
    </row>
    <row r="9" spans="1:44" s="219" customFormat="1" ht="13.5" thickBot="1">
      <c r="A9" s="2325"/>
      <c r="B9" s="1988"/>
      <c r="C9" s="1989">
        <v>100</v>
      </c>
      <c r="D9" s="1990">
        <f t="shared" ref="D9:S9" si="7">C9-$T$8</f>
        <v>99</v>
      </c>
      <c r="E9" s="1990">
        <f t="shared" si="7"/>
        <v>98</v>
      </c>
      <c r="F9" s="1990">
        <f t="shared" si="7"/>
        <v>97</v>
      </c>
      <c r="G9" s="1990">
        <f t="shared" si="7"/>
        <v>96</v>
      </c>
      <c r="H9" s="1990">
        <f t="shared" si="7"/>
        <v>95</v>
      </c>
      <c r="I9" s="1990">
        <f t="shared" si="7"/>
        <v>94</v>
      </c>
      <c r="J9" s="1990">
        <f t="shared" si="7"/>
        <v>93</v>
      </c>
      <c r="K9" s="1990">
        <f t="shared" si="7"/>
        <v>92</v>
      </c>
      <c r="L9" s="1990">
        <f t="shared" si="7"/>
        <v>91</v>
      </c>
      <c r="M9" s="1991">
        <f t="shared" si="7"/>
        <v>90</v>
      </c>
      <c r="N9" s="1991">
        <f t="shared" si="7"/>
        <v>89</v>
      </c>
      <c r="O9" s="1990">
        <f t="shared" si="7"/>
        <v>88</v>
      </c>
      <c r="P9" s="1990">
        <f t="shared" si="7"/>
        <v>87</v>
      </c>
      <c r="Q9" s="1990">
        <f t="shared" si="7"/>
        <v>86</v>
      </c>
      <c r="R9" s="1990">
        <f t="shared" si="7"/>
        <v>85</v>
      </c>
      <c r="S9" s="2060">
        <f t="shared" si="7"/>
        <v>84</v>
      </c>
      <c r="T9" s="1992"/>
      <c r="U9" s="2305"/>
      <c r="V9" s="2305"/>
      <c r="W9" s="1277"/>
      <c r="X9" s="2305"/>
      <c r="Y9" s="2305"/>
      <c r="Z9" s="1277"/>
      <c r="AA9" s="1277"/>
      <c r="AB9" s="1277"/>
      <c r="AC9" s="1277"/>
      <c r="AD9" s="1277"/>
      <c r="AE9" s="1277"/>
      <c r="AF9" s="1277"/>
      <c r="AG9" s="1277"/>
      <c r="AH9" s="1277"/>
      <c r="AI9" s="1277"/>
      <c r="AJ9" s="1277"/>
      <c r="AK9" s="1277"/>
      <c r="AL9" s="1277"/>
      <c r="AM9" s="1277"/>
      <c r="AN9" s="1277"/>
      <c r="AO9" s="1277"/>
      <c r="AP9" s="1277"/>
      <c r="AQ9" s="1277"/>
      <c r="AR9" s="1277"/>
    </row>
    <row r="10" spans="1:44" s="219" customFormat="1">
      <c r="A10" s="2325"/>
      <c r="B10" s="1987" t="s">
        <v>2225</v>
      </c>
      <c r="C10" s="1983"/>
      <c r="D10" s="1984"/>
      <c r="E10" s="1984"/>
      <c r="F10" s="1984"/>
      <c r="G10" s="1984"/>
      <c r="H10" s="1984"/>
      <c r="I10" s="1984"/>
      <c r="J10" s="1984"/>
      <c r="K10" s="1984"/>
      <c r="L10" s="1984"/>
      <c r="M10" s="1986"/>
      <c r="N10" s="1977"/>
      <c r="O10" s="1979"/>
      <c r="P10" s="1980"/>
      <c r="Q10" s="1981"/>
      <c r="R10" s="1982"/>
      <c r="S10" s="2061"/>
      <c r="T10" s="988"/>
      <c r="U10" s="2305"/>
      <c r="V10" s="2305"/>
      <c r="W10" s="1277"/>
      <c r="X10" s="2305"/>
      <c r="Y10" s="2305"/>
      <c r="Z10" s="1277"/>
      <c r="AA10" s="1277"/>
      <c r="AB10" s="1277"/>
      <c r="AC10" s="1277"/>
      <c r="AD10" s="1277"/>
      <c r="AE10" s="1277"/>
      <c r="AF10" s="1277"/>
      <c r="AG10" s="1277"/>
      <c r="AH10" s="1277"/>
      <c r="AI10" s="1277"/>
      <c r="AJ10" s="1277"/>
      <c r="AK10" s="1277"/>
      <c r="AL10" s="1277"/>
      <c r="AM10" s="1277"/>
      <c r="AN10" s="1277"/>
      <c r="AO10" s="1277"/>
      <c r="AP10" s="1277"/>
      <c r="AQ10" s="1277"/>
      <c r="AR10" s="1277"/>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7"/>
      <c r="X11" s="2305"/>
      <c r="Y11" s="2305"/>
      <c r="Z11" s="1277"/>
      <c r="AA11" s="1277"/>
      <c r="AB11" s="1277"/>
      <c r="AC11" s="1277"/>
      <c r="AD11" s="1277"/>
      <c r="AE11" s="1277"/>
      <c r="AF11" s="1277"/>
      <c r="AG11" s="1277"/>
      <c r="AH11" s="1277"/>
      <c r="AI11" s="1277"/>
      <c r="AJ11" s="1277"/>
      <c r="AK11" s="1277"/>
      <c r="AL11" s="1277"/>
      <c r="AM11" s="1277"/>
      <c r="AN11" s="1277"/>
      <c r="AO11" s="1277"/>
      <c r="AP11" s="1277"/>
      <c r="AQ11" s="1277"/>
      <c r="AR11" s="1277"/>
    </row>
    <row r="12" spans="1:44" s="219" customFormat="1">
      <c r="A12" s="2325"/>
      <c r="B12" s="1987" t="s">
        <v>2226</v>
      </c>
      <c r="C12" s="1983"/>
      <c r="D12" s="1984"/>
      <c r="E12" s="1984"/>
      <c r="F12" s="1984"/>
      <c r="G12" s="1984"/>
      <c r="H12" s="1984"/>
      <c r="I12" s="1984"/>
      <c r="J12" s="1984"/>
      <c r="K12" s="1984"/>
      <c r="L12" s="1985"/>
      <c r="M12" s="1986"/>
      <c r="N12" s="1977"/>
      <c r="O12" s="1979"/>
      <c r="P12" s="1980"/>
      <c r="Q12" s="1981"/>
      <c r="R12" s="1982"/>
      <c r="S12" s="2061"/>
      <c r="T12" s="988"/>
      <c r="U12" s="2305"/>
      <c r="V12" s="2305"/>
      <c r="W12" s="1277"/>
      <c r="X12" s="2305"/>
      <c r="Y12" s="2305"/>
      <c r="Z12" s="1277"/>
      <c r="AA12" s="1277"/>
      <c r="AB12" s="1277"/>
      <c r="AC12" s="1277"/>
      <c r="AD12" s="1277"/>
      <c r="AE12" s="1277"/>
      <c r="AF12" s="1277"/>
      <c r="AG12" s="1277"/>
      <c r="AH12" s="1277"/>
      <c r="AI12" s="1277"/>
      <c r="AJ12" s="1277"/>
      <c r="AK12" s="1277"/>
      <c r="AL12" s="1277"/>
      <c r="AM12" s="1277"/>
      <c r="AN12" s="1277"/>
      <c r="AO12" s="1277"/>
      <c r="AP12" s="1277"/>
      <c r="AQ12" s="1277"/>
      <c r="AR12" s="1277"/>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7"/>
      <c r="X13" s="2305"/>
      <c r="Y13" s="2305"/>
      <c r="Z13" s="1277"/>
      <c r="AA13" s="1277"/>
      <c r="AB13" s="1277"/>
      <c r="AC13" s="1277"/>
      <c r="AD13" s="1277"/>
      <c r="AE13" s="1277"/>
      <c r="AF13" s="1277"/>
      <c r="AG13" s="1277"/>
      <c r="AH13" s="1277"/>
      <c r="AI13" s="1277"/>
      <c r="AJ13" s="1277"/>
      <c r="AK13" s="1277"/>
      <c r="AL13" s="1277"/>
      <c r="AM13" s="1277"/>
      <c r="AN13" s="1277"/>
      <c r="AO13" s="1277"/>
      <c r="AP13" s="1277"/>
      <c r="AQ13" s="1277"/>
      <c r="AR13" s="1277"/>
    </row>
    <row r="14" spans="1:44" s="219" customFormat="1">
      <c r="A14" s="2325"/>
      <c r="B14" s="2006" t="s">
        <v>2227</v>
      </c>
      <c r="C14" s="1998"/>
      <c r="D14" s="1999"/>
      <c r="E14" s="1999"/>
      <c r="F14" s="1999"/>
      <c r="G14" s="1999"/>
      <c r="H14" s="1999"/>
      <c r="I14" s="1999"/>
      <c r="J14" s="1999"/>
      <c r="K14" s="1999"/>
      <c r="L14" s="1999"/>
      <c r="M14" s="2001"/>
      <c r="N14" s="2007"/>
      <c r="O14" s="2008"/>
      <c r="P14" s="2009"/>
      <c r="Q14" s="2010"/>
      <c r="R14" s="2011"/>
      <c r="S14" s="2063"/>
      <c r="T14" s="2002"/>
      <c r="U14" s="2305"/>
      <c r="V14" s="2305"/>
      <c r="W14" s="1277"/>
      <c r="X14" s="2305"/>
      <c r="Y14" s="2305"/>
      <c r="Z14" s="1277"/>
      <c r="AA14" s="1277"/>
      <c r="AB14" s="1277"/>
      <c r="AC14" s="1277"/>
      <c r="AD14" s="1277"/>
      <c r="AE14" s="1277"/>
      <c r="AF14" s="1277"/>
      <c r="AG14" s="1277"/>
      <c r="AH14" s="1277"/>
      <c r="AI14" s="1277"/>
      <c r="AJ14" s="1277"/>
      <c r="AK14" s="1277"/>
      <c r="AL14" s="1277"/>
      <c r="AM14" s="1277"/>
      <c r="AN14" s="1277"/>
      <c r="AO14" s="1277"/>
      <c r="AP14" s="1277"/>
      <c r="AQ14" s="1277"/>
      <c r="AR14" s="1277"/>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7"/>
      <c r="Z15" s="1277"/>
      <c r="AA15" s="1277"/>
      <c r="AB15" s="1277"/>
      <c r="AC15" s="1277"/>
      <c r="AD15" s="1277"/>
      <c r="AE15" s="1277"/>
      <c r="AF15" s="1277"/>
      <c r="AG15" s="1277"/>
      <c r="AH15" s="1277"/>
      <c r="AI15" s="1277"/>
      <c r="AJ15" s="1277"/>
      <c r="AK15" s="1277"/>
      <c r="AL15" s="1277"/>
      <c r="AM15" s="1277"/>
      <c r="AN15" s="1277"/>
      <c r="AO15" s="1277"/>
      <c r="AP15" s="1277"/>
      <c r="AQ15" s="1277"/>
      <c r="AR15" s="1277"/>
    </row>
    <row r="16" spans="1:44" s="219" customFormat="1">
      <c r="A16" s="2325"/>
      <c r="B16" s="2006" t="s">
        <v>2297</v>
      </c>
      <c r="C16" s="1998"/>
      <c r="D16" s="1999"/>
      <c r="E16" s="1999"/>
      <c r="F16" s="1999"/>
      <c r="G16" s="1999"/>
      <c r="H16" s="1999"/>
      <c r="I16" s="1999"/>
      <c r="J16" s="1999"/>
      <c r="K16" s="1999"/>
      <c r="L16" s="1999"/>
      <c r="M16" s="2001"/>
      <c r="N16" s="2007"/>
      <c r="O16" s="2008"/>
      <c r="P16" s="2009"/>
      <c r="Q16" s="2010"/>
      <c r="R16" s="2011"/>
      <c r="S16" s="2063"/>
      <c r="T16" s="2055"/>
      <c r="U16" s="2305"/>
      <c r="V16" s="2305"/>
      <c r="W16" s="1277"/>
      <c r="Z16" s="1277"/>
      <c r="AA16" s="1277"/>
      <c r="AB16" s="1277"/>
      <c r="AC16" s="1277"/>
      <c r="AD16" s="1277"/>
      <c r="AE16" s="1277"/>
      <c r="AF16" s="1277"/>
      <c r="AG16" s="1277"/>
      <c r="AH16" s="1277"/>
      <c r="AI16" s="1277"/>
      <c r="AJ16" s="1277"/>
      <c r="AK16" s="1277"/>
      <c r="AL16" s="1277"/>
      <c r="AM16" s="1277"/>
      <c r="AN16" s="1277"/>
      <c r="AO16" s="1277"/>
      <c r="AP16" s="1277"/>
      <c r="AQ16" s="1277"/>
      <c r="AR16" s="1277"/>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7"/>
      <c r="Z17" s="1277"/>
      <c r="AA17" s="1277"/>
      <c r="AB17" s="1277"/>
      <c r="AC17" s="1277"/>
      <c r="AD17" s="1277"/>
      <c r="AE17" s="1277"/>
      <c r="AF17" s="1277"/>
      <c r="AG17" s="1277"/>
      <c r="AH17" s="1277"/>
      <c r="AI17" s="1277"/>
      <c r="AJ17" s="1277"/>
      <c r="AK17" s="1277"/>
      <c r="AL17" s="1277"/>
      <c r="AM17" s="1277"/>
      <c r="AN17" s="1277"/>
      <c r="AO17" s="1277"/>
      <c r="AP17" s="1277"/>
      <c r="AQ17" s="1277"/>
      <c r="AR17" s="1277"/>
    </row>
    <row r="18" spans="1:45" s="219" customFormat="1">
      <c r="A18" s="2325"/>
      <c r="B18" s="2006" t="s">
        <v>2298</v>
      </c>
      <c r="C18" s="1998"/>
      <c r="D18" s="1999"/>
      <c r="E18" s="1999"/>
      <c r="F18" s="1999"/>
      <c r="G18" s="1999"/>
      <c r="H18" s="1999"/>
      <c r="I18" s="1999"/>
      <c r="J18" s="1999"/>
      <c r="K18" s="1999"/>
      <c r="L18" s="1999"/>
      <c r="M18" s="2001"/>
      <c r="N18" s="2007"/>
      <c r="O18" s="2008"/>
      <c r="P18" s="2009"/>
      <c r="Q18" s="2010"/>
      <c r="R18" s="2011"/>
      <c r="S18" s="2063"/>
      <c r="T18" s="2055"/>
      <c r="U18" s="2305"/>
      <c r="V18" s="2305"/>
      <c r="W18" s="1277"/>
      <c r="Z18" s="1277"/>
      <c r="AA18" s="1277"/>
      <c r="AB18" s="1277"/>
      <c r="AC18" s="1277"/>
      <c r="AD18" s="1277"/>
      <c r="AE18" s="1277"/>
      <c r="AF18" s="1277"/>
      <c r="AG18" s="1277"/>
      <c r="AH18" s="1277"/>
      <c r="AI18" s="1277"/>
      <c r="AJ18" s="1277"/>
      <c r="AK18" s="1277"/>
      <c r="AL18" s="1277"/>
      <c r="AM18" s="1277"/>
      <c r="AN18" s="1277"/>
      <c r="AO18" s="1277"/>
      <c r="AP18" s="1277"/>
      <c r="AQ18" s="1277"/>
      <c r="AR18" s="1277"/>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7"/>
      <c r="Z19" s="1277"/>
      <c r="AA19" s="1277"/>
      <c r="AB19" s="1277"/>
      <c r="AC19" s="1277"/>
      <c r="AD19" s="1277"/>
      <c r="AE19" s="1277"/>
      <c r="AF19" s="1277"/>
      <c r="AG19" s="1277"/>
      <c r="AH19" s="1277"/>
      <c r="AI19" s="1277"/>
      <c r="AJ19" s="1277"/>
      <c r="AK19" s="1277"/>
      <c r="AL19" s="1277"/>
      <c r="AM19" s="1277"/>
      <c r="AN19" s="1277"/>
      <c r="AO19" s="1277"/>
      <c r="AP19" s="1277"/>
      <c r="AQ19" s="1277"/>
      <c r="AR19" s="1277"/>
    </row>
    <row r="20" spans="1:45" s="219" customFormat="1">
      <c r="A20" s="2326" t="s">
        <v>2296</v>
      </c>
      <c r="B20" s="2327" t="s">
        <v>2295</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2913</v>
      </c>
      <c r="G22" s="3113"/>
      <c r="H22" s="3113"/>
      <c r="I22" s="3113"/>
      <c r="J22" s="3114"/>
      <c r="K22" s="301"/>
      <c r="L22" s="301"/>
      <c r="M22" s="301"/>
      <c r="N22" s="301"/>
      <c r="O22" s="301"/>
      <c r="P22" s="301"/>
      <c r="Q22" s="301"/>
      <c r="R22" s="1208"/>
      <c r="S22" s="270"/>
      <c r="T22" s="270"/>
      <c r="U22" s="2304"/>
      <c r="V22" s="2305"/>
      <c r="W22" s="1277"/>
      <c r="X22" s="219"/>
      <c r="Y22" s="219"/>
      <c r="Z22" s="1277"/>
    </row>
    <row r="23" spans="1:45" ht="16.5" thickBot="1">
      <c r="A23" s="33" t="s">
        <v>2208</v>
      </c>
      <c r="B23" s="526">
        <f>IF(F23="——",IF(C23="万元",T25,S25),IF(C23="万元",T25-H23,S25-H23))</f>
        <v>880</v>
      </c>
      <c r="C23" s="2018" t="str">
        <f>'数据-取费表'!B3</f>
        <v>万元</v>
      </c>
      <c r="D23" s="301"/>
      <c r="E23" s="301"/>
      <c r="F23" s="3115" t="s">
        <v>2899</v>
      </c>
      <c r="G23" s="3116"/>
      <c r="H23" s="966" t="e">
        <f ca="1">SUMIF(INDIRECT("'"&amp;J23&amp;"'"&amp;"!A:A"),"承租人权益价值",INDIRECT("'"&amp;J23&amp;"'"&amp;"!c:c"))</f>
        <v>#REF!</v>
      </c>
      <c r="I23" s="966" t="str">
        <f>C2</f>
        <v>万元</v>
      </c>
      <c r="J23" s="3117"/>
      <c r="K23" s="301"/>
      <c r="L23" s="301"/>
      <c r="M23" s="301"/>
      <c r="N23" s="301"/>
      <c r="O23" s="301"/>
      <c r="P23" s="301"/>
      <c r="Q23" s="301"/>
      <c r="R23" s="1208"/>
      <c r="S23" s="270"/>
      <c r="T23" s="270"/>
      <c r="V23" s="2305"/>
      <c r="W23" s="1277"/>
      <c r="X23" s="219"/>
      <c r="Y23" s="219"/>
      <c r="Z23" s="1277"/>
    </row>
    <row r="24" spans="1:45" ht="15.75">
      <c r="A24" s="2018" t="s">
        <v>2209</v>
      </c>
      <c r="B24" s="526">
        <f>R25</f>
        <v>54117</v>
      </c>
      <c r="C24" s="1969"/>
      <c r="D24" s="301"/>
      <c r="E24" s="301"/>
      <c r="F24" s="301"/>
      <c r="G24" s="301"/>
      <c r="H24" s="301"/>
      <c r="I24" s="301"/>
      <c r="J24" s="301"/>
      <c r="K24" s="301"/>
      <c r="L24" s="301"/>
      <c r="M24" s="301"/>
      <c r="N24" s="301"/>
      <c r="O24" s="301"/>
      <c r="P24" s="301"/>
      <c r="Q24" s="301"/>
      <c r="R24" s="1208"/>
      <c r="S24" s="2012" t="s">
        <v>2200</v>
      </c>
      <c r="T24" s="2344" t="s">
        <v>2199</v>
      </c>
      <c r="U24" s="2347" t="s">
        <v>2283</v>
      </c>
      <c r="V24" s="2348"/>
      <c r="W24" s="2346" t="s">
        <v>2286</v>
      </c>
      <c r="X24" s="2347" t="s">
        <v>2281</v>
      </c>
      <c r="Y24" s="2348"/>
      <c r="Z24" s="2345" t="s">
        <v>2286</v>
      </c>
    </row>
    <row r="25" spans="1:45">
      <c r="A25" s="552" t="s">
        <v>537</v>
      </c>
      <c r="B25" s="197">
        <f>SUM(B27:B10000)</f>
        <v>162.61000000000001</v>
      </c>
      <c r="C25" s="3532" t="s">
        <v>174</v>
      </c>
      <c r="D25" s="3533"/>
      <c r="E25" s="3533"/>
      <c r="F25" s="3533"/>
      <c r="G25" s="3533"/>
      <c r="H25" s="3533"/>
      <c r="I25" s="3533"/>
      <c r="J25" s="3533"/>
      <c r="K25" s="3533"/>
      <c r="L25" s="3533"/>
      <c r="M25" s="3533"/>
      <c r="N25" s="3533"/>
      <c r="O25" s="3533"/>
      <c r="P25" s="3533"/>
      <c r="Q25" s="3534"/>
      <c r="R25" s="991">
        <f>IF(C23="万元",ROUND(T25*10000/B25,0),ROUND(S25/B25,0))</f>
        <v>54117</v>
      </c>
      <c r="S25" s="197">
        <f>SUM(S27:S10000)</f>
        <v>8804031</v>
      </c>
      <c r="T25" s="197">
        <f>SUM(T27:T10000)</f>
        <v>880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朝向</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2201</v>
      </c>
      <c r="U26" s="2306" t="s">
        <v>2284</v>
      </c>
      <c r="V26" s="2307" t="s">
        <v>2285</v>
      </c>
      <c r="W26" s="2300" t="s">
        <v>2282</v>
      </c>
      <c r="X26" s="2306" t="s">
        <v>2284</v>
      </c>
      <c r="Y26" s="2307" t="s">
        <v>2285</v>
      </c>
      <c r="Z26" s="2300" t="s">
        <v>2282</v>
      </c>
      <c r="AA26" s="1278"/>
      <c r="AB26" s="1278"/>
      <c r="AC26" s="1278"/>
      <c r="AD26" s="1278"/>
      <c r="AE26" s="1278"/>
      <c r="AF26" s="1278"/>
      <c r="AG26" s="1278"/>
      <c r="AH26" s="1278"/>
      <c r="AI26" s="1278"/>
      <c r="AJ26" s="1278"/>
      <c r="AK26" s="1278"/>
      <c r="AL26" s="1278"/>
      <c r="AM26" s="1278"/>
      <c r="AN26" s="1278"/>
      <c r="AO26" s="1278"/>
      <c r="AP26" s="1278"/>
      <c r="AQ26" s="1278"/>
      <c r="AR26" s="1278"/>
    </row>
    <row r="27" spans="1:45" s="995" customFormat="1">
      <c r="A27" s="3128" t="s">
        <v>2958</v>
      </c>
      <c r="B27" s="993">
        <f>'数据-取费表'!E5</f>
        <v>0</v>
      </c>
      <c r="C27" s="993">
        <v>1</v>
      </c>
      <c r="D27" s="994" t="s">
        <v>2944</v>
      </c>
      <c r="E27" s="993">
        <v>1</v>
      </c>
      <c r="F27" s="994"/>
      <c r="G27" s="993">
        <v>1</v>
      </c>
      <c r="H27" s="994"/>
      <c r="I27" s="993">
        <v>1</v>
      </c>
      <c r="J27" s="994"/>
      <c r="K27" s="993">
        <v>1</v>
      </c>
      <c r="L27" s="994"/>
      <c r="M27" s="993">
        <v>1</v>
      </c>
      <c r="N27" s="994"/>
      <c r="O27" s="993">
        <v>1</v>
      </c>
      <c r="P27" s="994"/>
      <c r="Q27" s="993">
        <v>1</v>
      </c>
      <c r="R27" s="2050">
        <f>'比较法-住宅'!C48</f>
        <v>55805</v>
      </c>
      <c r="S27" s="993">
        <f>ROUND(R27*B27,0)</f>
        <v>0</v>
      </c>
      <c r="T27" s="993">
        <f>ROUND(R27*B27/10000,0)</f>
        <v>0</v>
      </c>
      <c r="U27" s="2308">
        <f>ROUND(W27*B27,0)</f>
        <v>0</v>
      </c>
      <c r="V27" s="2308">
        <f>ROUND(W27*B27/10000,0)</f>
        <v>0</v>
      </c>
      <c r="W27" s="2302"/>
      <c r="X27" s="2308">
        <f>ROUND(Z27*B27,0)</f>
        <v>0</v>
      </c>
      <c r="Y27" s="2308">
        <f>ROUND(Z27*B27/10000,0)</f>
        <v>0</v>
      </c>
      <c r="Z27" s="2302"/>
      <c r="AA27" s="1279"/>
      <c r="AB27" s="1279"/>
      <c r="AC27" s="1279"/>
      <c r="AD27" s="1279"/>
      <c r="AE27" s="1279"/>
      <c r="AF27" s="1279"/>
      <c r="AG27" s="1279"/>
      <c r="AH27" s="1279"/>
      <c r="AI27" s="1279"/>
      <c r="AJ27" s="1279"/>
      <c r="AK27" s="1279"/>
      <c r="AL27" s="1279"/>
      <c r="AM27" s="1279"/>
      <c r="AN27" s="1279"/>
      <c r="AO27" s="1279"/>
      <c r="AP27" s="1279"/>
      <c r="AQ27" s="1279"/>
      <c r="AR27" s="1279"/>
    </row>
    <row r="28" spans="1:45">
      <c r="A28" s="292">
        <v>1004</v>
      </c>
      <c r="B28" s="207">
        <f>明细表!C3</f>
        <v>162.61000000000001</v>
      </c>
      <c r="C28" s="197">
        <f t="shared" ref="C28:C91" si="14">IF(B28="",1,(LOOKUP(B28,$6:$6,$7:$7)-LOOKUP($B$27,$6:$6,$7:$7)+100)/100)</f>
        <v>0.98</v>
      </c>
      <c r="D28" s="994" t="s">
        <v>2946</v>
      </c>
      <c r="E28" s="197">
        <f t="shared" ref="E28:E91" si="15">(SUMIF($8:$8,D28,$9:$9)-SUMIF($8:$8,$D$27,$9:$9)+100)/100</f>
        <v>0.99</v>
      </c>
      <c r="F28" s="994"/>
      <c r="G28" s="197">
        <f t="shared" ref="G28:G91" si="16">(SUMIF($10:$10,F28,$11:$11)-SUMIF($10:$10,$F$27,$11:$11)+100)/100</f>
        <v>1</v>
      </c>
      <c r="H28" s="994"/>
      <c r="I28" s="197">
        <f t="shared" ref="I28:I91" si="17">(SUMIF($12:$12,H28,$13:$13)-SUMIF($12:$12,$H$27,$13:$13)+100)/100</f>
        <v>1</v>
      </c>
      <c r="J28" s="994"/>
      <c r="K28" s="197">
        <f t="shared" ref="K28:K91" si="18">(SUMIF($14:$14,J28,$15:$15)-SUMIF($14:$14,$J$27,$15:$15)+100)/100</f>
        <v>1</v>
      </c>
      <c r="L28" s="994"/>
      <c r="M28" s="197">
        <f t="shared" ref="M28:M91" si="19">(SUMIF($16:$16,L28,$17:$17)-SUMIF($16:$16,$L$27,$17:$17)+100)/100</f>
        <v>1</v>
      </c>
      <c r="N28" s="994"/>
      <c r="O28" s="197">
        <f t="shared" ref="O28:O91" si="20">(SUMIF($18:$18,N28,$19:$19)-SUMIF($18:$18,$N$27,$19:$19)+100)/100</f>
        <v>1</v>
      </c>
      <c r="P28" s="994"/>
      <c r="Q28" s="197">
        <f t="shared" ref="Q28:Q91" si="21">(SUMIF($20:$20,P28,$21:$21)-SUMIF($20:$20,$P$27,$21:$21)+100)/100</f>
        <v>1</v>
      </c>
      <c r="R28" s="991">
        <f>IF(B28="",0,ROUND($R$27*C28*E28*G28*I28*K28*M28*O28*Q28,0))</f>
        <v>54142</v>
      </c>
      <c r="S28" s="552">
        <f>ROUND(R28*B28,0)</f>
        <v>8804031</v>
      </c>
      <c r="T28" s="2013">
        <f>ROUND(R28*B28/10000,0)</f>
        <v>880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4"/>
      <c r="E29" s="197">
        <f t="shared" si="15"/>
        <v>0</v>
      </c>
      <c r="F29" s="994"/>
      <c r="G29" s="197">
        <f t="shared" si="16"/>
        <v>1</v>
      </c>
      <c r="H29" s="994"/>
      <c r="I29" s="197">
        <f t="shared" si="17"/>
        <v>1</v>
      </c>
      <c r="J29" s="994"/>
      <c r="K29" s="197">
        <f t="shared" si="18"/>
        <v>1</v>
      </c>
      <c r="L29" s="994"/>
      <c r="M29" s="197">
        <f t="shared" si="19"/>
        <v>1</v>
      </c>
      <c r="N29" s="994"/>
      <c r="O29" s="197">
        <f t="shared" si="20"/>
        <v>1</v>
      </c>
      <c r="P29" s="994"/>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4"/>
      <c r="E30" s="197">
        <f t="shared" si="15"/>
        <v>0</v>
      </c>
      <c r="F30" s="994"/>
      <c r="G30" s="197">
        <f t="shared" si="16"/>
        <v>1</v>
      </c>
      <c r="H30" s="994"/>
      <c r="I30" s="197">
        <f t="shared" si="17"/>
        <v>1</v>
      </c>
      <c r="J30" s="994"/>
      <c r="K30" s="197">
        <f t="shared" si="18"/>
        <v>1</v>
      </c>
      <c r="L30" s="994"/>
      <c r="M30" s="197">
        <f t="shared" si="19"/>
        <v>1</v>
      </c>
      <c r="N30" s="994"/>
      <c r="O30" s="197">
        <f t="shared" si="20"/>
        <v>1</v>
      </c>
      <c r="P30" s="994"/>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4"/>
      <c r="E31" s="197">
        <f t="shared" si="15"/>
        <v>0</v>
      </c>
      <c r="F31" s="994"/>
      <c r="G31" s="197">
        <f t="shared" si="16"/>
        <v>1</v>
      </c>
      <c r="H31" s="994"/>
      <c r="I31" s="197">
        <f t="shared" si="17"/>
        <v>1</v>
      </c>
      <c r="J31" s="994"/>
      <c r="K31" s="197">
        <f t="shared" si="18"/>
        <v>1</v>
      </c>
      <c r="L31" s="994"/>
      <c r="M31" s="197">
        <f t="shared" si="19"/>
        <v>1</v>
      </c>
      <c r="N31" s="994"/>
      <c r="O31" s="197">
        <f t="shared" si="20"/>
        <v>1</v>
      </c>
      <c r="P31" s="994"/>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4"/>
      <c r="E32" s="197">
        <f t="shared" si="15"/>
        <v>0</v>
      </c>
      <c r="F32" s="994"/>
      <c r="G32" s="197">
        <f t="shared" si="16"/>
        <v>1</v>
      </c>
      <c r="H32" s="994"/>
      <c r="I32" s="197">
        <f t="shared" si="17"/>
        <v>1</v>
      </c>
      <c r="J32" s="994"/>
      <c r="K32" s="197">
        <f t="shared" si="18"/>
        <v>1</v>
      </c>
      <c r="L32" s="994"/>
      <c r="M32" s="197">
        <f t="shared" si="19"/>
        <v>1</v>
      </c>
      <c r="N32" s="994"/>
      <c r="O32" s="197">
        <f t="shared" si="20"/>
        <v>1</v>
      </c>
      <c r="P32" s="994"/>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4"/>
      <c r="E33" s="197">
        <f t="shared" si="15"/>
        <v>0</v>
      </c>
      <c r="F33" s="994"/>
      <c r="G33" s="197">
        <f t="shared" si="16"/>
        <v>1</v>
      </c>
      <c r="H33" s="994"/>
      <c r="I33" s="197">
        <f t="shared" si="17"/>
        <v>1</v>
      </c>
      <c r="J33" s="994"/>
      <c r="K33" s="197">
        <f t="shared" si="18"/>
        <v>1</v>
      </c>
      <c r="L33" s="994"/>
      <c r="M33" s="197">
        <f t="shared" si="19"/>
        <v>1</v>
      </c>
      <c r="N33" s="994"/>
      <c r="O33" s="197">
        <f t="shared" si="20"/>
        <v>1</v>
      </c>
      <c r="P33" s="994"/>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4"/>
      <c r="E34" s="197">
        <f t="shared" si="15"/>
        <v>0</v>
      </c>
      <c r="F34" s="994"/>
      <c r="G34" s="197">
        <f t="shared" si="16"/>
        <v>1</v>
      </c>
      <c r="H34" s="994"/>
      <c r="I34" s="197">
        <f t="shared" si="17"/>
        <v>1</v>
      </c>
      <c r="J34" s="994"/>
      <c r="K34" s="197">
        <f t="shared" si="18"/>
        <v>1</v>
      </c>
      <c r="L34" s="994"/>
      <c r="M34" s="197">
        <f t="shared" si="19"/>
        <v>1</v>
      </c>
      <c r="N34" s="994"/>
      <c r="O34" s="197">
        <f t="shared" si="20"/>
        <v>1</v>
      </c>
      <c r="P34" s="994"/>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4"/>
      <c r="E35" s="197">
        <f t="shared" si="15"/>
        <v>0</v>
      </c>
      <c r="F35" s="994"/>
      <c r="G35" s="197">
        <f t="shared" si="16"/>
        <v>1</v>
      </c>
      <c r="H35" s="994"/>
      <c r="I35" s="197">
        <f t="shared" si="17"/>
        <v>1</v>
      </c>
      <c r="J35" s="994"/>
      <c r="K35" s="197">
        <f t="shared" si="18"/>
        <v>1</v>
      </c>
      <c r="L35" s="994"/>
      <c r="M35" s="197">
        <f t="shared" si="19"/>
        <v>1</v>
      </c>
      <c r="N35" s="994"/>
      <c r="O35" s="197">
        <f t="shared" si="20"/>
        <v>1</v>
      </c>
      <c r="P35" s="994"/>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4"/>
      <c r="E36" s="197">
        <f t="shared" si="15"/>
        <v>0</v>
      </c>
      <c r="F36" s="994"/>
      <c r="G36" s="197">
        <f t="shared" si="16"/>
        <v>1</v>
      </c>
      <c r="H36" s="994"/>
      <c r="I36" s="197">
        <f t="shared" si="17"/>
        <v>1</v>
      </c>
      <c r="J36" s="994"/>
      <c r="K36" s="197">
        <f t="shared" si="18"/>
        <v>1</v>
      </c>
      <c r="L36" s="994"/>
      <c r="M36" s="197">
        <f t="shared" si="19"/>
        <v>1</v>
      </c>
      <c r="N36" s="994"/>
      <c r="O36" s="197">
        <f t="shared" si="20"/>
        <v>1</v>
      </c>
      <c r="P36" s="994"/>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4"/>
      <c r="E37" s="197">
        <f t="shared" si="15"/>
        <v>0</v>
      </c>
      <c r="F37" s="994"/>
      <c r="G37" s="197">
        <f t="shared" si="16"/>
        <v>1</v>
      </c>
      <c r="H37" s="994"/>
      <c r="I37" s="197">
        <f t="shared" si="17"/>
        <v>1</v>
      </c>
      <c r="J37" s="994"/>
      <c r="K37" s="197">
        <f t="shared" si="18"/>
        <v>1</v>
      </c>
      <c r="L37" s="994"/>
      <c r="M37" s="197">
        <f t="shared" si="19"/>
        <v>1</v>
      </c>
      <c r="N37" s="994"/>
      <c r="O37" s="197">
        <f t="shared" si="20"/>
        <v>1</v>
      </c>
      <c r="P37" s="994"/>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4"/>
      <c r="E38" s="197">
        <f t="shared" si="15"/>
        <v>0</v>
      </c>
      <c r="F38" s="994"/>
      <c r="G38" s="197">
        <f t="shared" si="16"/>
        <v>1</v>
      </c>
      <c r="H38" s="994"/>
      <c r="I38" s="197">
        <f t="shared" si="17"/>
        <v>1</v>
      </c>
      <c r="J38" s="994"/>
      <c r="K38" s="197">
        <f t="shared" si="18"/>
        <v>1</v>
      </c>
      <c r="L38" s="994"/>
      <c r="M38" s="197">
        <f t="shared" si="19"/>
        <v>1</v>
      </c>
      <c r="N38" s="994"/>
      <c r="O38" s="197">
        <f t="shared" si="20"/>
        <v>1</v>
      </c>
      <c r="P38" s="994"/>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4"/>
      <c r="E39" s="197">
        <f t="shared" si="15"/>
        <v>0</v>
      </c>
      <c r="F39" s="994"/>
      <c r="G39" s="197">
        <f t="shared" si="16"/>
        <v>1</v>
      </c>
      <c r="H39" s="994"/>
      <c r="I39" s="197">
        <f t="shared" si="17"/>
        <v>1</v>
      </c>
      <c r="J39" s="994"/>
      <c r="K39" s="197">
        <f t="shared" si="18"/>
        <v>1</v>
      </c>
      <c r="L39" s="994"/>
      <c r="M39" s="197">
        <f t="shared" si="19"/>
        <v>1</v>
      </c>
      <c r="N39" s="994"/>
      <c r="O39" s="197">
        <f t="shared" si="20"/>
        <v>1</v>
      </c>
      <c r="P39" s="994"/>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4"/>
      <c r="E40" s="197">
        <f t="shared" si="15"/>
        <v>0</v>
      </c>
      <c r="F40" s="994"/>
      <c r="G40" s="197">
        <f t="shared" si="16"/>
        <v>1</v>
      </c>
      <c r="H40" s="994"/>
      <c r="I40" s="197">
        <f t="shared" si="17"/>
        <v>1</v>
      </c>
      <c r="J40" s="994"/>
      <c r="K40" s="197">
        <f t="shared" si="18"/>
        <v>1</v>
      </c>
      <c r="L40" s="994"/>
      <c r="M40" s="197">
        <f t="shared" si="19"/>
        <v>1</v>
      </c>
      <c r="N40" s="994"/>
      <c r="O40" s="197">
        <f t="shared" si="20"/>
        <v>1</v>
      </c>
      <c r="P40" s="994"/>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4"/>
      <c r="E41" s="197">
        <f t="shared" si="15"/>
        <v>0</v>
      </c>
      <c r="F41" s="994"/>
      <c r="G41" s="197">
        <f t="shared" si="16"/>
        <v>1</v>
      </c>
      <c r="H41" s="994"/>
      <c r="I41" s="197">
        <f t="shared" si="17"/>
        <v>1</v>
      </c>
      <c r="J41" s="994"/>
      <c r="K41" s="197">
        <f t="shared" si="18"/>
        <v>1</v>
      </c>
      <c r="L41" s="994"/>
      <c r="M41" s="197">
        <f t="shared" si="19"/>
        <v>1</v>
      </c>
      <c r="N41" s="994"/>
      <c r="O41" s="197">
        <f t="shared" si="20"/>
        <v>1</v>
      </c>
      <c r="P41" s="994"/>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4"/>
      <c r="E42" s="197">
        <f t="shared" si="15"/>
        <v>0</v>
      </c>
      <c r="F42" s="994"/>
      <c r="G42" s="197">
        <f t="shared" si="16"/>
        <v>1</v>
      </c>
      <c r="H42" s="994"/>
      <c r="I42" s="197">
        <f t="shared" si="17"/>
        <v>1</v>
      </c>
      <c r="J42" s="994"/>
      <c r="K42" s="197">
        <f t="shared" si="18"/>
        <v>1</v>
      </c>
      <c r="L42" s="994"/>
      <c r="M42" s="197">
        <f t="shared" si="19"/>
        <v>1</v>
      </c>
      <c r="N42" s="994"/>
      <c r="O42" s="197">
        <f t="shared" si="20"/>
        <v>1</v>
      </c>
      <c r="P42" s="994"/>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4"/>
      <c r="E43" s="197">
        <f t="shared" si="15"/>
        <v>0</v>
      </c>
      <c r="F43" s="994"/>
      <c r="G43" s="197">
        <f t="shared" si="16"/>
        <v>1</v>
      </c>
      <c r="H43" s="994"/>
      <c r="I43" s="197">
        <f t="shared" si="17"/>
        <v>1</v>
      </c>
      <c r="J43" s="994"/>
      <c r="K43" s="197">
        <f t="shared" si="18"/>
        <v>1</v>
      </c>
      <c r="L43" s="994"/>
      <c r="M43" s="197">
        <f t="shared" si="19"/>
        <v>1</v>
      </c>
      <c r="N43" s="994"/>
      <c r="O43" s="197">
        <f t="shared" si="20"/>
        <v>1</v>
      </c>
      <c r="P43" s="994"/>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4"/>
      <c r="E44" s="197">
        <f t="shared" si="15"/>
        <v>0</v>
      </c>
      <c r="F44" s="994"/>
      <c r="G44" s="197">
        <f t="shared" si="16"/>
        <v>1</v>
      </c>
      <c r="H44" s="994"/>
      <c r="I44" s="197">
        <f t="shared" si="17"/>
        <v>1</v>
      </c>
      <c r="J44" s="994"/>
      <c r="K44" s="197">
        <f t="shared" si="18"/>
        <v>1</v>
      </c>
      <c r="L44" s="994"/>
      <c r="M44" s="197">
        <f t="shared" si="19"/>
        <v>1</v>
      </c>
      <c r="N44" s="994"/>
      <c r="O44" s="197">
        <f t="shared" si="20"/>
        <v>1</v>
      </c>
      <c r="P44" s="994"/>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4"/>
      <c r="E45" s="197">
        <f t="shared" si="15"/>
        <v>0</v>
      </c>
      <c r="F45" s="994"/>
      <c r="G45" s="197">
        <f t="shared" si="16"/>
        <v>1</v>
      </c>
      <c r="H45" s="994"/>
      <c r="I45" s="197">
        <f t="shared" si="17"/>
        <v>1</v>
      </c>
      <c r="J45" s="994"/>
      <c r="K45" s="197">
        <f t="shared" si="18"/>
        <v>1</v>
      </c>
      <c r="L45" s="994"/>
      <c r="M45" s="197">
        <f t="shared" si="19"/>
        <v>1</v>
      </c>
      <c r="N45" s="994"/>
      <c r="O45" s="197">
        <f t="shared" si="20"/>
        <v>1</v>
      </c>
      <c r="P45" s="994"/>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4"/>
      <c r="E46" s="197">
        <f t="shared" si="15"/>
        <v>0</v>
      </c>
      <c r="F46" s="994"/>
      <c r="G46" s="197">
        <f t="shared" si="16"/>
        <v>1</v>
      </c>
      <c r="H46" s="994"/>
      <c r="I46" s="197">
        <f t="shared" si="17"/>
        <v>1</v>
      </c>
      <c r="J46" s="994"/>
      <c r="K46" s="197">
        <f t="shared" si="18"/>
        <v>1</v>
      </c>
      <c r="L46" s="994"/>
      <c r="M46" s="197">
        <f t="shared" si="19"/>
        <v>1</v>
      </c>
      <c r="N46" s="994"/>
      <c r="O46" s="197">
        <f t="shared" si="20"/>
        <v>1</v>
      </c>
      <c r="P46" s="994"/>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4"/>
      <c r="E47" s="197">
        <f t="shared" si="15"/>
        <v>0</v>
      </c>
      <c r="F47" s="994"/>
      <c r="G47" s="197">
        <f t="shared" si="16"/>
        <v>1</v>
      </c>
      <c r="H47" s="994"/>
      <c r="I47" s="197">
        <f t="shared" si="17"/>
        <v>1</v>
      </c>
      <c r="J47" s="994"/>
      <c r="K47" s="197">
        <f t="shared" si="18"/>
        <v>1</v>
      </c>
      <c r="L47" s="994"/>
      <c r="M47" s="197">
        <f t="shared" si="19"/>
        <v>1</v>
      </c>
      <c r="N47" s="994"/>
      <c r="O47" s="197">
        <f t="shared" si="20"/>
        <v>1</v>
      </c>
      <c r="P47" s="994"/>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4"/>
      <c r="E48" s="197">
        <f t="shared" si="15"/>
        <v>0</v>
      </c>
      <c r="F48" s="994"/>
      <c r="G48" s="197">
        <f t="shared" si="16"/>
        <v>1</v>
      </c>
      <c r="H48" s="994"/>
      <c r="I48" s="197">
        <f t="shared" si="17"/>
        <v>1</v>
      </c>
      <c r="J48" s="994"/>
      <c r="K48" s="197">
        <f t="shared" si="18"/>
        <v>1</v>
      </c>
      <c r="L48" s="994"/>
      <c r="M48" s="197">
        <f t="shared" si="19"/>
        <v>1</v>
      </c>
      <c r="N48" s="994"/>
      <c r="O48" s="197">
        <f t="shared" si="20"/>
        <v>1</v>
      </c>
      <c r="P48" s="994"/>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4"/>
      <c r="E49" s="197">
        <f t="shared" si="15"/>
        <v>0</v>
      </c>
      <c r="F49" s="994"/>
      <c r="G49" s="197">
        <f t="shared" si="16"/>
        <v>1</v>
      </c>
      <c r="H49" s="994"/>
      <c r="I49" s="197">
        <f t="shared" si="17"/>
        <v>1</v>
      </c>
      <c r="J49" s="994"/>
      <c r="K49" s="197">
        <f t="shared" si="18"/>
        <v>1</v>
      </c>
      <c r="L49" s="994"/>
      <c r="M49" s="197">
        <f t="shared" si="19"/>
        <v>1</v>
      </c>
      <c r="N49" s="994"/>
      <c r="O49" s="197">
        <f t="shared" si="20"/>
        <v>1</v>
      </c>
      <c r="P49" s="994"/>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4"/>
      <c r="E50" s="197">
        <f t="shared" si="15"/>
        <v>0</v>
      </c>
      <c r="F50" s="994"/>
      <c r="G50" s="197">
        <f t="shared" si="16"/>
        <v>1</v>
      </c>
      <c r="H50" s="994"/>
      <c r="I50" s="197">
        <f t="shared" si="17"/>
        <v>1</v>
      </c>
      <c r="J50" s="994"/>
      <c r="K50" s="197">
        <f t="shared" si="18"/>
        <v>1</v>
      </c>
      <c r="L50" s="994"/>
      <c r="M50" s="197">
        <f t="shared" si="19"/>
        <v>1</v>
      </c>
      <c r="N50" s="994"/>
      <c r="O50" s="197">
        <f t="shared" si="20"/>
        <v>1</v>
      </c>
      <c r="P50" s="994"/>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4"/>
      <c r="E51" s="197">
        <f t="shared" si="15"/>
        <v>0</v>
      </c>
      <c r="F51" s="994"/>
      <c r="G51" s="197">
        <f t="shared" si="16"/>
        <v>1</v>
      </c>
      <c r="H51" s="994"/>
      <c r="I51" s="197">
        <f t="shared" si="17"/>
        <v>1</v>
      </c>
      <c r="J51" s="994"/>
      <c r="K51" s="197">
        <f t="shared" si="18"/>
        <v>1</v>
      </c>
      <c r="L51" s="994"/>
      <c r="M51" s="197">
        <f t="shared" si="19"/>
        <v>1</v>
      </c>
      <c r="N51" s="994"/>
      <c r="O51" s="197">
        <f t="shared" si="20"/>
        <v>1</v>
      </c>
      <c r="P51" s="994"/>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4"/>
      <c r="E52" s="197">
        <f t="shared" si="15"/>
        <v>0</v>
      </c>
      <c r="F52" s="994"/>
      <c r="G52" s="197">
        <f t="shared" si="16"/>
        <v>1</v>
      </c>
      <c r="H52" s="994"/>
      <c r="I52" s="197">
        <f t="shared" si="17"/>
        <v>1</v>
      </c>
      <c r="J52" s="994"/>
      <c r="K52" s="197">
        <f t="shared" si="18"/>
        <v>1</v>
      </c>
      <c r="L52" s="994"/>
      <c r="M52" s="197">
        <f t="shared" si="19"/>
        <v>1</v>
      </c>
      <c r="N52" s="994"/>
      <c r="O52" s="197">
        <f t="shared" si="20"/>
        <v>1</v>
      </c>
      <c r="P52" s="994"/>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4"/>
      <c r="E53" s="197">
        <f t="shared" si="15"/>
        <v>0</v>
      </c>
      <c r="F53" s="994"/>
      <c r="G53" s="197">
        <f t="shared" si="16"/>
        <v>1</v>
      </c>
      <c r="H53" s="994"/>
      <c r="I53" s="197">
        <f t="shared" si="17"/>
        <v>1</v>
      </c>
      <c r="J53" s="994"/>
      <c r="K53" s="197">
        <f t="shared" si="18"/>
        <v>1</v>
      </c>
      <c r="L53" s="994"/>
      <c r="M53" s="197">
        <f t="shared" si="19"/>
        <v>1</v>
      </c>
      <c r="N53" s="994"/>
      <c r="O53" s="197">
        <f t="shared" si="20"/>
        <v>1</v>
      </c>
      <c r="P53" s="994"/>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4"/>
      <c r="E54" s="197">
        <f t="shared" si="15"/>
        <v>0</v>
      </c>
      <c r="F54" s="994"/>
      <c r="G54" s="197">
        <f t="shared" si="16"/>
        <v>1</v>
      </c>
      <c r="H54" s="994"/>
      <c r="I54" s="197">
        <f t="shared" si="17"/>
        <v>1</v>
      </c>
      <c r="J54" s="994"/>
      <c r="K54" s="197">
        <f t="shared" si="18"/>
        <v>1</v>
      </c>
      <c r="L54" s="994"/>
      <c r="M54" s="197">
        <f t="shared" si="19"/>
        <v>1</v>
      </c>
      <c r="N54" s="994"/>
      <c r="O54" s="197">
        <f t="shared" si="20"/>
        <v>1</v>
      </c>
      <c r="P54" s="994"/>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4"/>
      <c r="E55" s="197">
        <f t="shared" si="15"/>
        <v>0</v>
      </c>
      <c r="F55" s="994"/>
      <c r="G55" s="197">
        <f t="shared" si="16"/>
        <v>1</v>
      </c>
      <c r="H55" s="994"/>
      <c r="I55" s="197">
        <f t="shared" si="17"/>
        <v>1</v>
      </c>
      <c r="J55" s="994"/>
      <c r="K55" s="197">
        <f t="shared" si="18"/>
        <v>1</v>
      </c>
      <c r="L55" s="994"/>
      <c r="M55" s="197">
        <f t="shared" si="19"/>
        <v>1</v>
      </c>
      <c r="N55" s="994"/>
      <c r="O55" s="197">
        <f t="shared" si="20"/>
        <v>1</v>
      </c>
      <c r="P55" s="994"/>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4"/>
      <c r="E56" s="197">
        <f t="shared" si="15"/>
        <v>0</v>
      </c>
      <c r="F56" s="994"/>
      <c r="G56" s="197">
        <f t="shared" si="16"/>
        <v>1</v>
      </c>
      <c r="H56" s="994"/>
      <c r="I56" s="197">
        <f t="shared" si="17"/>
        <v>1</v>
      </c>
      <c r="J56" s="994"/>
      <c r="K56" s="197">
        <f t="shared" si="18"/>
        <v>1</v>
      </c>
      <c r="L56" s="994"/>
      <c r="M56" s="197">
        <f t="shared" si="19"/>
        <v>1</v>
      </c>
      <c r="N56" s="994"/>
      <c r="O56" s="197">
        <f t="shared" si="20"/>
        <v>1</v>
      </c>
      <c r="P56" s="994"/>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4"/>
      <c r="E57" s="197">
        <f t="shared" si="15"/>
        <v>0</v>
      </c>
      <c r="F57" s="994"/>
      <c r="G57" s="197">
        <f t="shared" si="16"/>
        <v>1</v>
      </c>
      <c r="H57" s="994"/>
      <c r="I57" s="197">
        <f t="shared" si="17"/>
        <v>1</v>
      </c>
      <c r="J57" s="994"/>
      <c r="K57" s="197">
        <f t="shared" si="18"/>
        <v>1</v>
      </c>
      <c r="L57" s="994"/>
      <c r="M57" s="197">
        <f t="shared" si="19"/>
        <v>1</v>
      </c>
      <c r="N57" s="994"/>
      <c r="O57" s="197">
        <f t="shared" si="20"/>
        <v>1</v>
      </c>
      <c r="P57" s="994"/>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4"/>
      <c r="E58" s="197">
        <f t="shared" si="15"/>
        <v>0</v>
      </c>
      <c r="F58" s="994"/>
      <c r="G58" s="197">
        <f t="shared" si="16"/>
        <v>1</v>
      </c>
      <c r="H58" s="994"/>
      <c r="I58" s="197">
        <f t="shared" si="17"/>
        <v>1</v>
      </c>
      <c r="J58" s="994"/>
      <c r="K58" s="197">
        <f t="shared" si="18"/>
        <v>1</v>
      </c>
      <c r="L58" s="994"/>
      <c r="M58" s="197">
        <f t="shared" si="19"/>
        <v>1</v>
      </c>
      <c r="N58" s="994"/>
      <c r="O58" s="197">
        <f t="shared" si="20"/>
        <v>1</v>
      </c>
      <c r="P58" s="994"/>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4"/>
      <c r="E59" s="197">
        <f t="shared" si="15"/>
        <v>0</v>
      </c>
      <c r="F59" s="994"/>
      <c r="G59" s="197">
        <f t="shared" si="16"/>
        <v>1</v>
      </c>
      <c r="H59" s="994"/>
      <c r="I59" s="197">
        <f t="shared" si="17"/>
        <v>1</v>
      </c>
      <c r="J59" s="994"/>
      <c r="K59" s="197">
        <f t="shared" si="18"/>
        <v>1</v>
      </c>
      <c r="L59" s="994"/>
      <c r="M59" s="197">
        <f t="shared" si="19"/>
        <v>1</v>
      </c>
      <c r="N59" s="994"/>
      <c r="O59" s="197">
        <f t="shared" si="20"/>
        <v>1</v>
      </c>
      <c r="P59" s="994"/>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4"/>
      <c r="E60" s="197">
        <f t="shared" si="15"/>
        <v>0</v>
      </c>
      <c r="F60" s="994"/>
      <c r="G60" s="197">
        <f t="shared" si="16"/>
        <v>1</v>
      </c>
      <c r="H60" s="994"/>
      <c r="I60" s="197">
        <f t="shared" si="17"/>
        <v>1</v>
      </c>
      <c r="J60" s="994"/>
      <c r="K60" s="197">
        <f t="shared" si="18"/>
        <v>1</v>
      </c>
      <c r="L60" s="994"/>
      <c r="M60" s="197">
        <f t="shared" si="19"/>
        <v>1</v>
      </c>
      <c r="N60" s="994"/>
      <c r="O60" s="197">
        <f t="shared" si="20"/>
        <v>1</v>
      </c>
      <c r="P60" s="994"/>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4"/>
      <c r="E61" s="197">
        <f t="shared" si="15"/>
        <v>0</v>
      </c>
      <c r="F61" s="994"/>
      <c r="G61" s="197">
        <f t="shared" si="16"/>
        <v>1</v>
      </c>
      <c r="H61" s="994"/>
      <c r="I61" s="197">
        <f t="shared" si="17"/>
        <v>1</v>
      </c>
      <c r="J61" s="994"/>
      <c r="K61" s="197">
        <f t="shared" si="18"/>
        <v>1</v>
      </c>
      <c r="L61" s="994"/>
      <c r="M61" s="197">
        <f t="shared" si="19"/>
        <v>1</v>
      </c>
      <c r="N61" s="994"/>
      <c r="O61" s="197">
        <f t="shared" si="20"/>
        <v>1</v>
      </c>
      <c r="P61" s="994"/>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4"/>
      <c r="E62" s="197">
        <f t="shared" si="15"/>
        <v>0</v>
      </c>
      <c r="F62" s="994"/>
      <c r="G62" s="197">
        <f t="shared" si="16"/>
        <v>1</v>
      </c>
      <c r="H62" s="994"/>
      <c r="I62" s="197">
        <f t="shared" si="17"/>
        <v>1</v>
      </c>
      <c r="J62" s="994"/>
      <c r="K62" s="197">
        <f t="shared" si="18"/>
        <v>1</v>
      </c>
      <c r="L62" s="994"/>
      <c r="M62" s="197">
        <f t="shared" si="19"/>
        <v>1</v>
      </c>
      <c r="N62" s="994"/>
      <c r="O62" s="197">
        <f t="shared" si="20"/>
        <v>1</v>
      </c>
      <c r="P62" s="994"/>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4"/>
      <c r="E63" s="197">
        <f t="shared" si="15"/>
        <v>0</v>
      </c>
      <c r="F63" s="994"/>
      <c r="G63" s="197">
        <f t="shared" si="16"/>
        <v>1</v>
      </c>
      <c r="H63" s="994"/>
      <c r="I63" s="197">
        <f t="shared" si="17"/>
        <v>1</v>
      </c>
      <c r="J63" s="994"/>
      <c r="K63" s="197">
        <f t="shared" si="18"/>
        <v>1</v>
      </c>
      <c r="L63" s="994"/>
      <c r="M63" s="197">
        <f t="shared" si="19"/>
        <v>1</v>
      </c>
      <c r="N63" s="994"/>
      <c r="O63" s="197">
        <f t="shared" si="20"/>
        <v>1</v>
      </c>
      <c r="P63" s="994"/>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4"/>
      <c r="E64" s="197">
        <f t="shared" si="15"/>
        <v>0</v>
      </c>
      <c r="F64" s="994"/>
      <c r="G64" s="197">
        <f t="shared" si="16"/>
        <v>1</v>
      </c>
      <c r="H64" s="994"/>
      <c r="I64" s="197">
        <f t="shared" si="17"/>
        <v>1</v>
      </c>
      <c r="J64" s="994"/>
      <c r="K64" s="197">
        <f t="shared" si="18"/>
        <v>1</v>
      </c>
      <c r="L64" s="994"/>
      <c r="M64" s="197">
        <f t="shared" si="19"/>
        <v>1</v>
      </c>
      <c r="N64" s="994"/>
      <c r="O64" s="197">
        <f t="shared" si="20"/>
        <v>1</v>
      </c>
      <c r="P64" s="994"/>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4"/>
      <c r="E65" s="197">
        <f t="shared" si="15"/>
        <v>0</v>
      </c>
      <c r="F65" s="994"/>
      <c r="G65" s="197">
        <f t="shared" si="16"/>
        <v>1</v>
      </c>
      <c r="H65" s="994"/>
      <c r="I65" s="197">
        <f t="shared" si="17"/>
        <v>1</v>
      </c>
      <c r="J65" s="994"/>
      <c r="K65" s="197">
        <f t="shared" si="18"/>
        <v>1</v>
      </c>
      <c r="L65" s="994"/>
      <c r="M65" s="197">
        <f t="shared" si="19"/>
        <v>1</v>
      </c>
      <c r="N65" s="994"/>
      <c r="O65" s="197">
        <f t="shared" si="20"/>
        <v>1</v>
      </c>
      <c r="P65" s="994"/>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4"/>
      <c r="E66" s="197">
        <f t="shared" si="15"/>
        <v>0</v>
      </c>
      <c r="F66" s="994"/>
      <c r="G66" s="197">
        <f t="shared" si="16"/>
        <v>1</v>
      </c>
      <c r="H66" s="994"/>
      <c r="I66" s="197">
        <f t="shared" si="17"/>
        <v>1</v>
      </c>
      <c r="J66" s="994"/>
      <c r="K66" s="197">
        <f t="shared" si="18"/>
        <v>1</v>
      </c>
      <c r="L66" s="994"/>
      <c r="M66" s="197">
        <f t="shared" si="19"/>
        <v>1</v>
      </c>
      <c r="N66" s="994"/>
      <c r="O66" s="197">
        <f t="shared" si="20"/>
        <v>1</v>
      </c>
      <c r="P66" s="994"/>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4"/>
      <c r="E67" s="197">
        <f t="shared" si="15"/>
        <v>0</v>
      </c>
      <c r="F67" s="994"/>
      <c r="G67" s="197">
        <f t="shared" si="16"/>
        <v>1</v>
      </c>
      <c r="H67" s="994"/>
      <c r="I67" s="197">
        <f t="shared" si="17"/>
        <v>1</v>
      </c>
      <c r="J67" s="994"/>
      <c r="K67" s="197">
        <f t="shared" si="18"/>
        <v>1</v>
      </c>
      <c r="L67" s="994"/>
      <c r="M67" s="197">
        <f t="shared" si="19"/>
        <v>1</v>
      </c>
      <c r="N67" s="994"/>
      <c r="O67" s="197">
        <f t="shared" si="20"/>
        <v>1</v>
      </c>
      <c r="P67" s="994"/>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4"/>
      <c r="E68" s="197">
        <f t="shared" si="15"/>
        <v>0</v>
      </c>
      <c r="F68" s="994"/>
      <c r="G68" s="197">
        <f t="shared" si="16"/>
        <v>1</v>
      </c>
      <c r="H68" s="994"/>
      <c r="I68" s="197">
        <f t="shared" si="17"/>
        <v>1</v>
      </c>
      <c r="J68" s="994"/>
      <c r="K68" s="197">
        <f t="shared" si="18"/>
        <v>1</v>
      </c>
      <c r="L68" s="994"/>
      <c r="M68" s="197">
        <f t="shared" si="19"/>
        <v>1</v>
      </c>
      <c r="N68" s="994"/>
      <c r="O68" s="197">
        <f t="shared" si="20"/>
        <v>1</v>
      </c>
      <c r="P68" s="994"/>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4"/>
      <c r="E69" s="197">
        <f t="shared" si="15"/>
        <v>0</v>
      </c>
      <c r="F69" s="994"/>
      <c r="G69" s="197">
        <f t="shared" si="16"/>
        <v>1</v>
      </c>
      <c r="H69" s="994"/>
      <c r="I69" s="197">
        <f t="shared" si="17"/>
        <v>1</v>
      </c>
      <c r="J69" s="994"/>
      <c r="K69" s="197">
        <f t="shared" si="18"/>
        <v>1</v>
      </c>
      <c r="L69" s="994"/>
      <c r="M69" s="197">
        <f t="shared" si="19"/>
        <v>1</v>
      </c>
      <c r="N69" s="994"/>
      <c r="O69" s="197">
        <f t="shared" si="20"/>
        <v>1</v>
      </c>
      <c r="P69" s="994"/>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4"/>
      <c r="E70" s="197">
        <f t="shared" si="15"/>
        <v>0</v>
      </c>
      <c r="F70" s="994"/>
      <c r="G70" s="197">
        <f t="shared" si="16"/>
        <v>1</v>
      </c>
      <c r="H70" s="994"/>
      <c r="I70" s="197">
        <f t="shared" si="17"/>
        <v>1</v>
      </c>
      <c r="J70" s="994"/>
      <c r="K70" s="197">
        <f t="shared" si="18"/>
        <v>1</v>
      </c>
      <c r="L70" s="994"/>
      <c r="M70" s="197">
        <f t="shared" si="19"/>
        <v>1</v>
      </c>
      <c r="N70" s="994"/>
      <c r="O70" s="197">
        <f t="shared" si="20"/>
        <v>1</v>
      </c>
      <c r="P70" s="994"/>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4"/>
      <c r="E71" s="197">
        <f t="shared" si="15"/>
        <v>0</v>
      </c>
      <c r="F71" s="994"/>
      <c r="G71" s="197">
        <f t="shared" si="16"/>
        <v>1</v>
      </c>
      <c r="H71" s="994"/>
      <c r="I71" s="197">
        <f t="shared" si="17"/>
        <v>1</v>
      </c>
      <c r="J71" s="994"/>
      <c r="K71" s="197">
        <f t="shared" si="18"/>
        <v>1</v>
      </c>
      <c r="L71" s="994"/>
      <c r="M71" s="197">
        <f t="shared" si="19"/>
        <v>1</v>
      </c>
      <c r="N71" s="994"/>
      <c r="O71" s="197">
        <f t="shared" si="20"/>
        <v>1</v>
      </c>
      <c r="P71" s="994"/>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4"/>
      <c r="E72" s="197">
        <f t="shared" si="15"/>
        <v>0</v>
      </c>
      <c r="F72" s="994"/>
      <c r="G72" s="197">
        <f t="shared" si="16"/>
        <v>1</v>
      </c>
      <c r="H72" s="994"/>
      <c r="I72" s="197">
        <f t="shared" si="17"/>
        <v>1</v>
      </c>
      <c r="J72" s="994"/>
      <c r="K72" s="197">
        <f t="shared" si="18"/>
        <v>1</v>
      </c>
      <c r="L72" s="994"/>
      <c r="M72" s="197">
        <f t="shared" si="19"/>
        <v>1</v>
      </c>
      <c r="N72" s="994"/>
      <c r="O72" s="197">
        <f t="shared" si="20"/>
        <v>1</v>
      </c>
      <c r="P72" s="994"/>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4"/>
      <c r="E73" s="197">
        <f t="shared" si="15"/>
        <v>0</v>
      </c>
      <c r="F73" s="994"/>
      <c r="G73" s="197">
        <f t="shared" si="16"/>
        <v>1</v>
      </c>
      <c r="H73" s="994"/>
      <c r="I73" s="197">
        <f t="shared" si="17"/>
        <v>1</v>
      </c>
      <c r="J73" s="994"/>
      <c r="K73" s="197">
        <f t="shared" si="18"/>
        <v>1</v>
      </c>
      <c r="L73" s="994"/>
      <c r="M73" s="197">
        <f t="shared" si="19"/>
        <v>1</v>
      </c>
      <c r="N73" s="994"/>
      <c r="O73" s="197">
        <f t="shared" si="20"/>
        <v>1</v>
      </c>
      <c r="P73" s="994"/>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4"/>
      <c r="E74" s="197">
        <f t="shared" si="15"/>
        <v>0</v>
      </c>
      <c r="F74" s="994"/>
      <c r="G74" s="197">
        <f t="shared" si="16"/>
        <v>1</v>
      </c>
      <c r="H74" s="994"/>
      <c r="I74" s="197">
        <f t="shared" si="17"/>
        <v>1</v>
      </c>
      <c r="J74" s="994"/>
      <c r="K74" s="197">
        <f t="shared" si="18"/>
        <v>1</v>
      </c>
      <c r="L74" s="994"/>
      <c r="M74" s="197">
        <f t="shared" si="19"/>
        <v>1</v>
      </c>
      <c r="N74" s="994"/>
      <c r="O74" s="197">
        <f t="shared" si="20"/>
        <v>1</v>
      </c>
      <c r="P74" s="994"/>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4"/>
      <c r="E75" s="197">
        <f t="shared" si="15"/>
        <v>0</v>
      </c>
      <c r="F75" s="994"/>
      <c r="G75" s="197">
        <f t="shared" si="16"/>
        <v>1</v>
      </c>
      <c r="H75" s="994"/>
      <c r="I75" s="197">
        <f t="shared" si="17"/>
        <v>1</v>
      </c>
      <c r="J75" s="994"/>
      <c r="K75" s="197">
        <f t="shared" si="18"/>
        <v>1</v>
      </c>
      <c r="L75" s="994"/>
      <c r="M75" s="197">
        <f t="shared" si="19"/>
        <v>1</v>
      </c>
      <c r="N75" s="994"/>
      <c r="O75" s="197">
        <f t="shared" si="20"/>
        <v>1</v>
      </c>
      <c r="P75" s="994"/>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4"/>
      <c r="E76" s="197">
        <f t="shared" si="15"/>
        <v>0</v>
      </c>
      <c r="F76" s="994"/>
      <c r="G76" s="197">
        <f t="shared" si="16"/>
        <v>1</v>
      </c>
      <c r="H76" s="994"/>
      <c r="I76" s="197">
        <f t="shared" si="17"/>
        <v>1</v>
      </c>
      <c r="J76" s="994"/>
      <c r="K76" s="197">
        <f t="shared" si="18"/>
        <v>1</v>
      </c>
      <c r="L76" s="994"/>
      <c r="M76" s="197">
        <f t="shared" si="19"/>
        <v>1</v>
      </c>
      <c r="N76" s="994"/>
      <c r="O76" s="197">
        <f t="shared" si="20"/>
        <v>1</v>
      </c>
      <c r="P76" s="994"/>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4"/>
      <c r="E77" s="197">
        <f t="shared" si="15"/>
        <v>0</v>
      </c>
      <c r="F77" s="994"/>
      <c r="G77" s="197">
        <f t="shared" si="16"/>
        <v>1</v>
      </c>
      <c r="H77" s="994"/>
      <c r="I77" s="197">
        <f t="shared" si="17"/>
        <v>1</v>
      </c>
      <c r="J77" s="994"/>
      <c r="K77" s="197">
        <f t="shared" si="18"/>
        <v>1</v>
      </c>
      <c r="L77" s="994"/>
      <c r="M77" s="197">
        <f t="shared" si="19"/>
        <v>1</v>
      </c>
      <c r="N77" s="994"/>
      <c r="O77" s="197">
        <f t="shared" si="20"/>
        <v>1</v>
      </c>
      <c r="P77" s="994"/>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4"/>
      <c r="E78" s="197">
        <f t="shared" si="15"/>
        <v>0</v>
      </c>
      <c r="F78" s="994"/>
      <c r="G78" s="197">
        <f t="shared" si="16"/>
        <v>1</v>
      </c>
      <c r="H78" s="994"/>
      <c r="I78" s="197">
        <f t="shared" si="17"/>
        <v>1</v>
      </c>
      <c r="J78" s="994"/>
      <c r="K78" s="197">
        <f t="shared" si="18"/>
        <v>1</v>
      </c>
      <c r="L78" s="994"/>
      <c r="M78" s="197">
        <f t="shared" si="19"/>
        <v>1</v>
      </c>
      <c r="N78" s="994"/>
      <c r="O78" s="197">
        <f t="shared" si="20"/>
        <v>1</v>
      </c>
      <c r="P78" s="994"/>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4"/>
      <c r="E79" s="197">
        <f t="shared" si="15"/>
        <v>0</v>
      </c>
      <c r="F79" s="994"/>
      <c r="G79" s="197">
        <f t="shared" si="16"/>
        <v>1</v>
      </c>
      <c r="H79" s="994"/>
      <c r="I79" s="197">
        <f t="shared" si="17"/>
        <v>1</v>
      </c>
      <c r="J79" s="994"/>
      <c r="K79" s="197">
        <f t="shared" si="18"/>
        <v>1</v>
      </c>
      <c r="L79" s="994"/>
      <c r="M79" s="197">
        <f t="shared" si="19"/>
        <v>1</v>
      </c>
      <c r="N79" s="994"/>
      <c r="O79" s="197">
        <f t="shared" si="20"/>
        <v>1</v>
      </c>
      <c r="P79" s="994"/>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4"/>
      <c r="E80" s="197">
        <f t="shared" si="15"/>
        <v>0</v>
      </c>
      <c r="F80" s="994"/>
      <c r="G80" s="197">
        <f t="shared" si="16"/>
        <v>1</v>
      </c>
      <c r="H80" s="994"/>
      <c r="I80" s="197">
        <f t="shared" si="17"/>
        <v>1</v>
      </c>
      <c r="J80" s="994"/>
      <c r="K80" s="197">
        <f t="shared" si="18"/>
        <v>1</v>
      </c>
      <c r="L80" s="994"/>
      <c r="M80" s="197">
        <f t="shared" si="19"/>
        <v>1</v>
      </c>
      <c r="N80" s="994"/>
      <c r="O80" s="197">
        <f t="shared" si="20"/>
        <v>1</v>
      </c>
      <c r="P80" s="994"/>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4"/>
      <c r="E81" s="197">
        <f t="shared" si="15"/>
        <v>0</v>
      </c>
      <c r="F81" s="994"/>
      <c r="G81" s="197">
        <f t="shared" si="16"/>
        <v>1</v>
      </c>
      <c r="H81" s="994"/>
      <c r="I81" s="197">
        <f t="shared" si="17"/>
        <v>1</v>
      </c>
      <c r="J81" s="994"/>
      <c r="K81" s="197">
        <f t="shared" si="18"/>
        <v>1</v>
      </c>
      <c r="L81" s="994"/>
      <c r="M81" s="197">
        <f t="shared" si="19"/>
        <v>1</v>
      </c>
      <c r="N81" s="994"/>
      <c r="O81" s="197">
        <f t="shared" si="20"/>
        <v>1</v>
      </c>
      <c r="P81" s="994"/>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4"/>
      <c r="E82" s="197">
        <f t="shared" si="15"/>
        <v>0</v>
      </c>
      <c r="F82" s="994"/>
      <c r="G82" s="197">
        <f t="shared" si="16"/>
        <v>1</v>
      </c>
      <c r="H82" s="994"/>
      <c r="I82" s="197">
        <f t="shared" si="17"/>
        <v>1</v>
      </c>
      <c r="J82" s="994"/>
      <c r="K82" s="197">
        <f t="shared" si="18"/>
        <v>1</v>
      </c>
      <c r="L82" s="994"/>
      <c r="M82" s="197">
        <f t="shared" si="19"/>
        <v>1</v>
      </c>
      <c r="N82" s="994"/>
      <c r="O82" s="197">
        <f t="shared" si="20"/>
        <v>1</v>
      </c>
      <c r="P82" s="994"/>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4"/>
      <c r="E83" s="197">
        <f t="shared" si="15"/>
        <v>0</v>
      </c>
      <c r="F83" s="994"/>
      <c r="G83" s="197">
        <f t="shared" si="16"/>
        <v>1</v>
      </c>
      <c r="H83" s="994"/>
      <c r="I83" s="197">
        <f t="shared" si="17"/>
        <v>1</v>
      </c>
      <c r="J83" s="994"/>
      <c r="K83" s="197">
        <f t="shared" si="18"/>
        <v>1</v>
      </c>
      <c r="L83" s="994"/>
      <c r="M83" s="197">
        <f t="shared" si="19"/>
        <v>1</v>
      </c>
      <c r="N83" s="994"/>
      <c r="O83" s="197">
        <f t="shared" si="20"/>
        <v>1</v>
      </c>
      <c r="P83" s="994"/>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4"/>
      <c r="E84" s="197">
        <f t="shared" si="15"/>
        <v>0</v>
      </c>
      <c r="F84" s="994"/>
      <c r="G84" s="197">
        <f t="shared" si="16"/>
        <v>1</v>
      </c>
      <c r="H84" s="994"/>
      <c r="I84" s="197">
        <f t="shared" si="17"/>
        <v>1</v>
      </c>
      <c r="J84" s="994"/>
      <c r="K84" s="197">
        <f t="shared" si="18"/>
        <v>1</v>
      </c>
      <c r="L84" s="994"/>
      <c r="M84" s="197">
        <f t="shared" si="19"/>
        <v>1</v>
      </c>
      <c r="N84" s="994"/>
      <c r="O84" s="197">
        <f t="shared" si="20"/>
        <v>1</v>
      </c>
      <c r="P84" s="994"/>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4"/>
      <c r="E85" s="197">
        <f t="shared" si="15"/>
        <v>0</v>
      </c>
      <c r="F85" s="994"/>
      <c r="G85" s="197">
        <f t="shared" si="16"/>
        <v>1</v>
      </c>
      <c r="H85" s="994"/>
      <c r="I85" s="197">
        <f t="shared" si="17"/>
        <v>1</v>
      </c>
      <c r="J85" s="994"/>
      <c r="K85" s="197">
        <f t="shared" si="18"/>
        <v>1</v>
      </c>
      <c r="L85" s="994"/>
      <c r="M85" s="197">
        <f t="shared" si="19"/>
        <v>1</v>
      </c>
      <c r="N85" s="994"/>
      <c r="O85" s="197">
        <f t="shared" si="20"/>
        <v>1</v>
      </c>
      <c r="P85" s="994"/>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4"/>
      <c r="E86" s="197">
        <f t="shared" si="15"/>
        <v>0</v>
      </c>
      <c r="F86" s="994"/>
      <c r="G86" s="197">
        <f t="shared" si="16"/>
        <v>1</v>
      </c>
      <c r="H86" s="994"/>
      <c r="I86" s="197">
        <f t="shared" si="17"/>
        <v>1</v>
      </c>
      <c r="J86" s="994"/>
      <c r="K86" s="197">
        <f t="shared" si="18"/>
        <v>1</v>
      </c>
      <c r="L86" s="994"/>
      <c r="M86" s="197">
        <f t="shared" si="19"/>
        <v>1</v>
      </c>
      <c r="N86" s="994"/>
      <c r="O86" s="197">
        <f t="shared" si="20"/>
        <v>1</v>
      </c>
      <c r="P86" s="994"/>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4"/>
      <c r="E87" s="197">
        <f t="shared" si="15"/>
        <v>0</v>
      </c>
      <c r="F87" s="994"/>
      <c r="G87" s="197">
        <f t="shared" si="16"/>
        <v>1</v>
      </c>
      <c r="H87" s="994"/>
      <c r="I87" s="197">
        <f t="shared" si="17"/>
        <v>1</v>
      </c>
      <c r="J87" s="994"/>
      <c r="K87" s="197">
        <f t="shared" si="18"/>
        <v>1</v>
      </c>
      <c r="L87" s="994"/>
      <c r="M87" s="197">
        <f t="shared" si="19"/>
        <v>1</v>
      </c>
      <c r="N87" s="994"/>
      <c r="O87" s="197">
        <f t="shared" si="20"/>
        <v>1</v>
      </c>
      <c r="P87" s="994"/>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4"/>
      <c r="E88" s="197">
        <f t="shared" si="15"/>
        <v>0</v>
      </c>
      <c r="F88" s="994"/>
      <c r="G88" s="197">
        <f t="shared" si="16"/>
        <v>1</v>
      </c>
      <c r="H88" s="994"/>
      <c r="I88" s="197">
        <f t="shared" si="17"/>
        <v>1</v>
      </c>
      <c r="J88" s="994"/>
      <c r="K88" s="197">
        <f t="shared" si="18"/>
        <v>1</v>
      </c>
      <c r="L88" s="994"/>
      <c r="M88" s="197">
        <f t="shared" si="19"/>
        <v>1</v>
      </c>
      <c r="N88" s="994"/>
      <c r="O88" s="197">
        <f t="shared" si="20"/>
        <v>1</v>
      </c>
      <c r="P88" s="994"/>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4"/>
      <c r="E89" s="197">
        <f t="shared" si="15"/>
        <v>0</v>
      </c>
      <c r="F89" s="994"/>
      <c r="G89" s="197">
        <f t="shared" si="16"/>
        <v>1</v>
      </c>
      <c r="H89" s="994"/>
      <c r="I89" s="197">
        <f t="shared" si="17"/>
        <v>1</v>
      </c>
      <c r="J89" s="994"/>
      <c r="K89" s="197">
        <f t="shared" si="18"/>
        <v>1</v>
      </c>
      <c r="L89" s="994"/>
      <c r="M89" s="197">
        <f t="shared" si="19"/>
        <v>1</v>
      </c>
      <c r="N89" s="994"/>
      <c r="O89" s="197">
        <f t="shared" si="20"/>
        <v>1</v>
      </c>
      <c r="P89" s="994"/>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4"/>
      <c r="E90" s="197">
        <f t="shared" si="15"/>
        <v>0</v>
      </c>
      <c r="F90" s="994"/>
      <c r="G90" s="197">
        <f t="shared" si="16"/>
        <v>1</v>
      </c>
      <c r="H90" s="994"/>
      <c r="I90" s="197">
        <f t="shared" si="17"/>
        <v>1</v>
      </c>
      <c r="J90" s="994"/>
      <c r="K90" s="197">
        <f t="shared" si="18"/>
        <v>1</v>
      </c>
      <c r="L90" s="994"/>
      <c r="M90" s="197">
        <f t="shared" si="19"/>
        <v>1</v>
      </c>
      <c r="N90" s="994"/>
      <c r="O90" s="197">
        <f t="shared" si="20"/>
        <v>1</v>
      </c>
      <c r="P90" s="994"/>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4"/>
      <c r="E91" s="197">
        <f t="shared" si="15"/>
        <v>0</v>
      </c>
      <c r="F91" s="994"/>
      <c r="G91" s="197">
        <f t="shared" si="16"/>
        <v>1</v>
      </c>
      <c r="H91" s="994"/>
      <c r="I91" s="197">
        <f t="shared" si="17"/>
        <v>1</v>
      </c>
      <c r="J91" s="994"/>
      <c r="K91" s="197">
        <f t="shared" si="18"/>
        <v>1</v>
      </c>
      <c r="L91" s="994"/>
      <c r="M91" s="197">
        <f t="shared" si="19"/>
        <v>1</v>
      </c>
      <c r="N91" s="994"/>
      <c r="O91" s="197">
        <f t="shared" si="20"/>
        <v>1</v>
      </c>
      <c r="P91" s="994"/>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4"/>
      <c r="E92" s="197">
        <f t="shared" ref="E92:E155" si="30">(SUMIF($8:$8,D92,$9:$9)-SUMIF($8:$8,$D$27,$9:$9)+100)/100</f>
        <v>0</v>
      </c>
      <c r="F92" s="994"/>
      <c r="G92" s="197">
        <f t="shared" ref="G92:G155" si="31">(SUMIF($10:$10,F92,$11:$11)-SUMIF($10:$10,$F$27,$11:$11)+100)/100</f>
        <v>1</v>
      </c>
      <c r="H92" s="994"/>
      <c r="I92" s="197">
        <f t="shared" ref="I92:I155" si="32">(SUMIF($12:$12,H92,$13:$13)-SUMIF($12:$12,$H$27,$13:$13)+100)/100</f>
        <v>1</v>
      </c>
      <c r="J92" s="994"/>
      <c r="K92" s="197">
        <f t="shared" ref="K92:K155" si="33">(SUMIF($14:$14,J92,$15:$15)-SUMIF($14:$14,$J$27,$15:$15)+100)/100</f>
        <v>1</v>
      </c>
      <c r="L92" s="994"/>
      <c r="M92" s="197">
        <f t="shared" ref="M92:M155" si="34">(SUMIF($16:$16,L92,$17:$17)-SUMIF($16:$16,$L$27,$17:$17)+100)/100</f>
        <v>1</v>
      </c>
      <c r="N92" s="994"/>
      <c r="O92" s="197">
        <f t="shared" ref="O92:O155" si="35">(SUMIF($18:$18,N92,$19:$19)-SUMIF($18:$18,$N$27,$19:$19)+100)/100</f>
        <v>1</v>
      </c>
      <c r="P92" s="994"/>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4"/>
      <c r="E93" s="197">
        <f t="shared" si="30"/>
        <v>0</v>
      </c>
      <c r="F93" s="994"/>
      <c r="G93" s="197">
        <f t="shared" si="31"/>
        <v>1</v>
      </c>
      <c r="H93" s="994"/>
      <c r="I93" s="197">
        <f t="shared" si="32"/>
        <v>1</v>
      </c>
      <c r="J93" s="994"/>
      <c r="K93" s="197">
        <f t="shared" si="33"/>
        <v>1</v>
      </c>
      <c r="L93" s="994"/>
      <c r="M93" s="197">
        <f t="shared" si="34"/>
        <v>1</v>
      </c>
      <c r="N93" s="994"/>
      <c r="O93" s="197">
        <f t="shared" si="35"/>
        <v>1</v>
      </c>
      <c r="P93" s="994"/>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4"/>
      <c r="E94" s="197">
        <f t="shared" si="30"/>
        <v>0</v>
      </c>
      <c r="F94" s="994"/>
      <c r="G94" s="197">
        <f t="shared" si="31"/>
        <v>1</v>
      </c>
      <c r="H94" s="994"/>
      <c r="I94" s="197">
        <f t="shared" si="32"/>
        <v>1</v>
      </c>
      <c r="J94" s="994"/>
      <c r="K94" s="197">
        <f t="shared" si="33"/>
        <v>1</v>
      </c>
      <c r="L94" s="994"/>
      <c r="M94" s="197">
        <f t="shared" si="34"/>
        <v>1</v>
      </c>
      <c r="N94" s="994"/>
      <c r="O94" s="197">
        <f t="shared" si="35"/>
        <v>1</v>
      </c>
      <c r="P94" s="994"/>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4"/>
      <c r="E95" s="197">
        <f t="shared" si="30"/>
        <v>0</v>
      </c>
      <c r="F95" s="994"/>
      <c r="G95" s="197">
        <f t="shared" si="31"/>
        <v>1</v>
      </c>
      <c r="H95" s="994"/>
      <c r="I95" s="197">
        <f t="shared" si="32"/>
        <v>1</v>
      </c>
      <c r="J95" s="994"/>
      <c r="K95" s="197">
        <f t="shared" si="33"/>
        <v>1</v>
      </c>
      <c r="L95" s="994"/>
      <c r="M95" s="197">
        <f t="shared" si="34"/>
        <v>1</v>
      </c>
      <c r="N95" s="994"/>
      <c r="O95" s="197">
        <f t="shared" si="35"/>
        <v>1</v>
      </c>
      <c r="P95" s="994"/>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4"/>
      <c r="E96" s="197">
        <f t="shared" si="30"/>
        <v>0</v>
      </c>
      <c r="F96" s="994"/>
      <c r="G96" s="197">
        <f t="shared" si="31"/>
        <v>1</v>
      </c>
      <c r="H96" s="994"/>
      <c r="I96" s="197">
        <f t="shared" si="32"/>
        <v>1</v>
      </c>
      <c r="J96" s="994"/>
      <c r="K96" s="197">
        <f t="shared" si="33"/>
        <v>1</v>
      </c>
      <c r="L96" s="994"/>
      <c r="M96" s="197">
        <f t="shared" si="34"/>
        <v>1</v>
      </c>
      <c r="N96" s="994"/>
      <c r="O96" s="197">
        <f t="shared" si="35"/>
        <v>1</v>
      </c>
      <c r="P96" s="994"/>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4"/>
      <c r="E97" s="197">
        <f t="shared" si="30"/>
        <v>0</v>
      </c>
      <c r="F97" s="994"/>
      <c r="G97" s="197">
        <f t="shared" si="31"/>
        <v>1</v>
      </c>
      <c r="H97" s="994"/>
      <c r="I97" s="197">
        <f t="shared" si="32"/>
        <v>1</v>
      </c>
      <c r="J97" s="994"/>
      <c r="K97" s="197">
        <f t="shared" si="33"/>
        <v>1</v>
      </c>
      <c r="L97" s="994"/>
      <c r="M97" s="197">
        <f t="shared" si="34"/>
        <v>1</v>
      </c>
      <c r="N97" s="994"/>
      <c r="O97" s="197">
        <f t="shared" si="35"/>
        <v>1</v>
      </c>
      <c r="P97" s="994"/>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4"/>
      <c r="E98" s="197">
        <f t="shared" si="30"/>
        <v>0</v>
      </c>
      <c r="F98" s="994"/>
      <c r="G98" s="197">
        <f t="shared" si="31"/>
        <v>1</v>
      </c>
      <c r="H98" s="994"/>
      <c r="I98" s="197">
        <f t="shared" si="32"/>
        <v>1</v>
      </c>
      <c r="J98" s="994"/>
      <c r="K98" s="197">
        <f t="shared" si="33"/>
        <v>1</v>
      </c>
      <c r="L98" s="994"/>
      <c r="M98" s="197">
        <f t="shared" si="34"/>
        <v>1</v>
      </c>
      <c r="N98" s="994"/>
      <c r="O98" s="197">
        <f t="shared" si="35"/>
        <v>1</v>
      </c>
      <c r="P98" s="994"/>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4"/>
      <c r="E99" s="197">
        <f t="shared" si="30"/>
        <v>0</v>
      </c>
      <c r="F99" s="994"/>
      <c r="G99" s="197">
        <f t="shared" si="31"/>
        <v>1</v>
      </c>
      <c r="H99" s="994"/>
      <c r="I99" s="197">
        <f t="shared" si="32"/>
        <v>1</v>
      </c>
      <c r="J99" s="994"/>
      <c r="K99" s="197">
        <f t="shared" si="33"/>
        <v>1</v>
      </c>
      <c r="L99" s="994"/>
      <c r="M99" s="197">
        <f t="shared" si="34"/>
        <v>1</v>
      </c>
      <c r="N99" s="994"/>
      <c r="O99" s="197">
        <f t="shared" si="35"/>
        <v>1</v>
      </c>
      <c r="P99" s="994"/>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4"/>
      <c r="E100" s="197">
        <f t="shared" si="30"/>
        <v>0</v>
      </c>
      <c r="F100" s="994"/>
      <c r="G100" s="197">
        <f t="shared" si="31"/>
        <v>1</v>
      </c>
      <c r="H100" s="994"/>
      <c r="I100" s="197">
        <f t="shared" si="32"/>
        <v>1</v>
      </c>
      <c r="J100" s="994"/>
      <c r="K100" s="197">
        <f t="shared" si="33"/>
        <v>1</v>
      </c>
      <c r="L100" s="994"/>
      <c r="M100" s="197">
        <f t="shared" si="34"/>
        <v>1</v>
      </c>
      <c r="N100" s="994"/>
      <c r="O100" s="197">
        <f t="shared" si="35"/>
        <v>1</v>
      </c>
      <c r="P100" s="994"/>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4"/>
      <c r="E101" s="197">
        <f t="shared" si="30"/>
        <v>0</v>
      </c>
      <c r="F101" s="994"/>
      <c r="G101" s="197">
        <f t="shared" si="31"/>
        <v>1</v>
      </c>
      <c r="H101" s="994"/>
      <c r="I101" s="197">
        <f t="shared" si="32"/>
        <v>1</v>
      </c>
      <c r="J101" s="994"/>
      <c r="K101" s="197">
        <f t="shared" si="33"/>
        <v>1</v>
      </c>
      <c r="L101" s="994"/>
      <c r="M101" s="197">
        <f t="shared" si="34"/>
        <v>1</v>
      </c>
      <c r="N101" s="994"/>
      <c r="O101" s="197">
        <f t="shared" si="35"/>
        <v>1</v>
      </c>
      <c r="P101" s="994"/>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4"/>
      <c r="E102" s="197">
        <f t="shared" si="30"/>
        <v>0</v>
      </c>
      <c r="F102" s="994"/>
      <c r="G102" s="197">
        <f t="shared" si="31"/>
        <v>1</v>
      </c>
      <c r="H102" s="994"/>
      <c r="I102" s="197">
        <f t="shared" si="32"/>
        <v>1</v>
      </c>
      <c r="J102" s="994"/>
      <c r="K102" s="197">
        <f t="shared" si="33"/>
        <v>1</v>
      </c>
      <c r="L102" s="994"/>
      <c r="M102" s="197">
        <f t="shared" si="34"/>
        <v>1</v>
      </c>
      <c r="N102" s="994"/>
      <c r="O102" s="197">
        <f t="shared" si="35"/>
        <v>1</v>
      </c>
      <c r="P102" s="994"/>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4"/>
      <c r="E103" s="197">
        <f t="shared" si="30"/>
        <v>0</v>
      </c>
      <c r="F103" s="994"/>
      <c r="G103" s="197">
        <f t="shared" si="31"/>
        <v>1</v>
      </c>
      <c r="H103" s="994"/>
      <c r="I103" s="197">
        <f t="shared" si="32"/>
        <v>1</v>
      </c>
      <c r="J103" s="994"/>
      <c r="K103" s="197">
        <f t="shared" si="33"/>
        <v>1</v>
      </c>
      <c r="L103" s="994"/>
      <c r="M103" s="197">
        <f t="shared" si="34"/>
        <v>1</v>
      </c>
      <c r="N103" s="994"/>
      <c r="O103" s="197">
        <f t="shared" si="35"/>
        <v>1</v>
      </c>
      <c r="P103" s="994"/>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4"/>
      <c r="E104" s="197">
        <f t="shared" si="30"/>
        <v>0</v>
      </c>
      <c r="F104" s="994"/>
      <c r="G104" s="197">
        <f t="shared" si="31"/>
        <v>1</v>
      </c>
      <c r="H104" s="994"/>
      <c r="I104" s="197">
        <f t="shared" si="32"/>
        <v>1</v>
      </c>
      <c r="J104" s="994"/>
      <c r="K104" s="197">
        <f t="shared" si="33"/>
        <v>1</v>
      </c>
      <c r="L104" s="994"/>
      <c r="M104" s="197">
        <f t="shared" si="34"/>
        <v>1</v>
      </c>
      <c r="N104" s="994"/>
      <c r="O104" s="197">
        <f t="shared" si="35"/>
        <v>1</v>
      </c>
      <c r="P104" s="994"/>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4"/>
      <c r="E105" s="197">
        <f t="shared" si="30"/>
        <v>0</v>
      </c>
      <c r="F105" s="994"/>
      <c r="G105" s="197">
        <f t="shared" si="31"/>
        <v>1</v>
      </c>
      <c r="H105" s="994"/>
      <c r="I105" s="197">
        <f t="shared" si="32"/>
        <v>1</v>
      </c>
      <c r="J105" s="994"/>
      <c r="K105" s="197">
        <f t="shared" si="33"/>
        <v>1</v>
      </c>
      <c r="L105" s="994"/>
      <c r="M105" s="197">
        <f t="shared" si="34"/>
        <v>1</v>
      </c>
      <c r="N105" s="994"/>
      <c r="O105" s="197">
        <f t="shared" si="35"/>
        <v>1</v>
      </c>
      <c r="P105" s="994"/>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4"/>
      <c r="E106" s="197">
        <f t="shared" si="30"/>
        <v>0</v>
      </c>
      <c r="F106" s="994"/>
      <c r="G106" s="197">
        <f t="shared" si="31"/>
        <v>1</v>
      </c>
      <c r="H106" s="994"/>
      <c r="I106" s="197">
        <f t="shared" si="32"/>
        <v>1</v>
      </c>
      <c r="J106" s="994"/>
      <c r="K106" s="197">
        <f t="shared" si="33"/>
        <v>1</v>
      </c>
      <c r="L106" s="994"/>
      <c r="M106" s="197">
        <f t="shared" si="34"/>
        <v>1</v>
      </c>
      <c r="N106" s="994"/>
      <c r="O106" s="197">
        <f t="shared" si="35"/>
        <v>1</v>
      </c>
      <c r="P106" s="994"/>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4"/>
      <c r="E107" s="197">
        <f t="shared" si="30"/>
        <v>0</v>
      </c>
      <c r="F107" s="994"/>
      <c r="G107" s="197">
        <f t="shared" si="31"/>
        <v>1</v>
      </c>
      <c r="H107" s="994"/>
      <c r="I107" s="197">
        <f t="shared" si="32"/>
        <v>1</v>
      </c>
      <c r="J107" s="994"/>
      <c r="K107" s="197">
        <f t="shared" si="33"/>
        <v>1</v>
      </c>
      <c r="L107" s="994"/>
      <c r="M107" s="197">
        <f t="shared" si="34"/>
        <v>1</v>
      </c>
      <c r="N107" s="994"/>
      <c r="O107" s="197">
        <f t="shared" si="35"/>
        <v>1</v>
      </c>
      <c r="P107" s="994"/>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4"/>
      <c r="E108" s="197">
        <f t="shared" si="30"/>
        <v>0</v>
      </c>
      <c r="F108" s="994"/>
      <c r="G108" s="197">
        <f t="shared" si="31"/>
        <v>1</v>
      </c>
      <c r="H108" s="994"/>
      <c r="I108" s="197">
        <f t="shared" si="32"/>
        <v>1</v>
      </c>
      <c r="J108" s="994"/>
      <c r="K108" s="197">
        <f t="shared" si="33"/>
        <v>1</v>
      </c>
      <c r="L108" s="994"/>
      <c r="M108" s="197">
        <f t="shared" si="34"/>
        <v>1</v>
      </c>
      <c r="N108" s="994"/>
      <c r="O108" s="197">
        <f t="shared" si="35"/>
        <v>1</v>
      </c>
      <c r="P108" s="994"/>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4"/>
      <c r="E109" s="197">
        <f t="shared" si="30"/>
        <v>0</v>
      </c>
      <c r="F109" s="994"/>
      <c r="G109" s="197">
        <f t="shared" si="31"/>
        <v>1</v>
      </c>
      <c r="H109" s="994"/>
      <c r="I109" s="197">
        <f t="shared" si="32"/>
        <v>1</v>
      </c>
      <c r="J109" s="994"/>
      <c r="K109" s="197">
        <f t="shared" si="33"/>
        <v>1</v>
      </c>
      <c r="L109" s="994"/>
      <c r="M109" s="197">
        <f t="shared" si="34"/>
        <v>1</v>
      </c>
      <c r="N109" s="994"/>
      <c r="O109" s="197">
        <f t="shared" si="35"/>
        <v>1</v>
      </c>
      <c r="P109" s="994"/>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4"/>
      <c r="E110" s="197">
        <f t="shared" si="30"/>
        <v>0</v>
      </c>
      <c r="F110" s="994"/>
      <c r="G110" s="197">
        <f t="shared" si="31"/>
        <v>1</v>
      </c>
      <c r="H110" s="994"/>
      <c r="I110" s="197">
        <f t="shared" si="32"/>
        <v>1</v>
      </c>
      <c r="J110" s="994"/>
      <c r="K110" s="197">
        <f t="shared" si="33"/>
        <v>1</v>
      </c>
      <c r="L110" s="994"/>
      <c r="M110" s="197">
        <f t="shared" si="34"/>
        <v>1</v>
      </c>
      <c r="N110" s="994"/>
      <c r="O110" s="197">
        <f t="shared" si="35"/>
        <v>1</v>
      </c>
      <c r="P110" s="994"/>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4"/>
      <c r="E111" s="197">
        <f t="shared" si="30"/>
        <v>0</v>
      </c>
      <c r="F111" s="994"/>
      <c r="G111" s="197">
        <f t="shared" si="31"/>
        <v>1</v>
      </c>
      <c r="H111" s="994"/>
      <c r="I111" s="197">
        <f t="shared" si="32"/>
        <v>1</v>
      </c>
      <c r="J111" s="994"/>
      <c r="K111" s="197">
        <f t="shared" si="33"/>
        <v>1</v>
      </c>
      <c r="L111" s="994"/>
      <c r="M111" s="197">
        <f t="shared" si="34"/>
        <v>1</v>
      </c>
      <c r="N111" s="994"/>
      <c r="O111" s="197">
        <f t="shared" si="35"/>
        <v>1</v>
      </c>
      <c r="P111" s="994"/>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4"/>
      <c r="E112" s="197">
        <f t="shared" si="30"/>
        <v>0</v>
      </c>
      <c r="F112" s="994"/>
      <c r="G112" s="197">
        <f t="shared" si="31"/>
        <v>1</v>
      </c>
      <c r="H112" s="994"/>
      <c r="I112" s="197">
        <f t="shared" si="32"/>
        <v>1</v>
      </c>
      <c r="J112" s="994"/>
      <c r="K112" s="197">
        <f t="shared" si="33"/>
        <v>1</v>
      </c>
      <c r="L112" s="994"/>
      <c r="M112" s="197">
        <f t="shared" si="34"/>
        <v>1</v>
      </c>
      <c r="N112" s="994"/>
      <c r="O112" s="197">
        <f t="shared" si="35"/>
        <v>1</v>
      </c>
      <c r="P112" s="994"/>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4"/>
      <c r="E113" s="197">
        <f t="shared" si="30"/>
        <v>0</v>
      </c>
      <c r="F113" s="994"/>
      <c r="G113" s="197">
        <f t="shared" si="31"/>
        <v>1</v>
      </c>
      <c r="H113" s="994"/>
      <c r="I113" s="197">
        <f t="shared" si="32"/>
        <v>1</v>
      </c>
      <c r="J113" s="994"/>
      <c r="K113" s="197">
        <f t="shared" si="33"/>
        <v>1</v>
      </c>
      <c r="L113" s="994"/>
      <c r="M113" s="197">
        <f t="shared" si="34"/>
        <v>1</v>
      </c>
      <c r="N113" s="994"/>
      <c r="O113" s="197">
        <f t="shared" si="35"/>
        <v>1</v>
      </c>
      <c r="P113" s="994"/>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4"/>
      <c r="E114" s="197">
        <f t="shared" si="30"/>
        <v>0</v>
      </c>
      <c r="F114" s="994"/>
      <c r="G114" s="197">
        <f t="shared" si="31"/>
        <v>1</v>
      </c>
      <c r="H114" s="994"/>
      <c r="I114" s="197">
        <f t="shared" si="32"/>
        <v>1</v>
      </c>
      <c r="J114" s="994"/>
      <c r="K114" s="197">
        <f t="shared" si="33"/>
        <v>1</v>
      </c>
      <c r="L114" s="994"/>
      <c r="M114" s="197">
        <f t="shared" si="34"/>
        <v>1</v>
      </c>
      <c r="N114" s="994"/>
      <c r="O114" s="197">
        <f t="shared" si="35"/>
        <v>1</v>
      </c>
      <c r="P114" s="994"/>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4"/>
      <c r="E115" s="197">
        <f t="shared" si="30"/>
        <v>0</v>
      </c>
      <c r="F115" s="994"/>
      <c r="G115" s="197">
        <f t="shared" si="31"/>
        <v>1</v>
      </c>
      <c r="H115" s="994"/>
      <c r="I115" s="197">
        <f t="shared" si="32"/>
        <v>1</v>
      </c>
      <c r="J115" s="994"/>
      <c r="K115" s="197">
        <f t="shared" si="33"/>
        <v>1</v>
      </c>
      <c r="L115" s="994"/>
      <c r="M115" s="197">
        <f t="shared" si="34"/>
        <v>1</v>
      </c>
      <c r="N115" s="994"/>
      <c r="O115" s="197">
        <f t="shared" si="35"/>
        <v>1</v>
      </c>
      <c r="P115" s="994"/>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4"/>
      <c r="E116" s="197">
        <f t="shared" si="30"/>
        <v>0</v>
      </c>
      <c r="F116" s="994"/>
      <c r="G116" s="197">
        <f t="shared" si="31"/>
        <v>1</v>
      </c>
      <c r="H116" s="994"/>
      <c r="I116" s="197">
        <f t="shared" si="32"/>
        <v>1</v>
      </c>
      <c r="J116" s="994"/>
      <c r="K116" s="197">
        <f t="shared" si="33"/>
        <v>1</v>
      </c>
      <c r="L116" s="994"/>
      <c r="M116" s="197">
        <f t="shared" si="34"/>
        <v>1</v>
      </c>
      <c r="N116" s="994"/>
      <c r="O116" s="197">
        <f t="shared" si="35"/>
        <v>1</v>
      </c>
      <c r="P116" s="994"/>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4"/>
      <c r="E117" s="197">
        <f t="shared" si="30"/>
        <v>0</v>
      </c>
      <c r="F117" s="994"/>
      <c r="G117" s="197">
        <f t="shared" si="31"/>
        <v>1</v>
      </c>
      <c r="H117" s="994"/>
      <c r="I117" s="197">
        <f t="shared" si="32"/>
        <v>1</v>
      </c>
      <c r="J117" s="994"/>
      <c r="K117" s="197">
        <f t="shared" si="33"/>
        <v>1</v>
      </c>
      <c r="L117" s="994"/>
      <c r="M117" s="197">
        <f t="shared" si="34"/>
        <v>1</v>
      </c>
      <c r="N117" s="994"/>
      <c r="O117" s="197">
        <f t="shared" si="35"/>
        <v>1</v>
      </c>
      <c r="P117" s="994"/>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4"/>
      <c r="E118" s="197">
        <f t="shared" si="30"/>
        <v>0</v>
      </c>
      <c r="F118" s="994"/>
      <c r="G118" s="197">
        <f t="shared" si="31"/>
        <v>1</v>
      </c>
      <c r="H118" s="994"/>
      <c r="I118" s="197">
        <f t="shared" si="32"/>
        <v>1</v>
      </c>
      <c r="J118" s="994"/>
      <c r="K118" s="197">
        <f t="shared" si="33"/>
        <v>1</v>
      </c>
      <c r="L118" s="994"/>
      <c r="M118" s="197">
        <f t="shared" si="34"/>
        <v>1</v>
      </c>
      <c r="N118" s="994"/>
      <c r="O118" s="197">
        <f t="shared" si="35"/>
        <v>1</v>
      </c>
      <c r="P118" s="994"/>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4"/>
      <c r="E119" s="197">
        <f t="shared" si="30"/>
        <v>0</v>
      </c>
      <c r="F119" s="994"/>
      <c r="G119" s="197">
        <f t="shared" si="31"/>
        <v>1</v>
      </c>
      <c r="H119" s="994"/>
      <c r="I119" s="197">
        <f t="shared" si="32"/>
        <v>1</v>
      </c>
      <c r="J119" s="994"/>
      <c r="K119" s="197">
        <f t="shared" si="33"/>
        <v>1</v>
      </c>
      <c r="L119" s="994"/>
      <c r="M119" s="197">
        <f t="shared" si="34"/>
        <v>1</v>
      </c>
      <c r="N119" s="994"/>
      <c r="O119" s="197">
        <f t="shared" si="35"/>
        <v>1</v>
      </c>
      <c r="P119" s="994"/>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4"/>
      <c r="E120" s="197">
        <f t="shared" si="30"/>
        <v>0</v>
      </c>
      <c r="F120" s="994"/>
      <c r="G120" s="197">
        <f t="shared" si="31"/>
        <v>1</v>
      </c>
      <c r="H120" s="994"/>
      <c r="I120" s="197">
        <f t="shared" si="32"/>
        <v>1</v>
      </c>
      <c r="J120" s="994"/>
      <c r="K120" s="197">
        <f t="shared" si="33"/>
        <v>1</v>
      </c>
      <c r="L120" s="994"/>
      <c r="M120" s="197">
        <f t="shared" si="34"/>
        <v>1</v>
      </c>
      <c r="N120" s="994"/>
      <c r="O120" s="197">
        <f t="shared" si="35"/>
        <v>1</v>
      </c>
      <c r="P120" s="994"/>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4"/>
      <c r="E121" s="197">
        <f t="shared" si="30"/>
        <v>0</v>
      </c>
      <c r="F121" s="994"/>
      <c r="G121" s="197">
        <f t="shared" si="31"/>
        <v>1</v>
      </c>
      <c r="H121" s="994"/>
      <c r="I121" s="197">
        <f t="shared" si="32"/>
        <v>1</v>
      </c>
      <c r="J121" s="994"/>
      <c r="K121" s="197">
        <f t="shared" si="33"/>
        <v>1</v>
      </c>
      <c r="L121" s="994"/>
      <c r="M121" s="197">
        <f t="shared" si="34"/>
        <v>1</v>
      </c>
      <c r="N121" s="994"/>
      <c r="O121" s="197">
        <f t="shared" si="35"/>
        <v>1</v>
      </c>
      <c r="P121" s="994"/>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4"/>
      <c r="E122" s="197">
        <f t="shared" si="30"/>
        <v>0</v>
      </c>
      <c r="F122" s="994"/>
      <c r="G122" s="197">
        <f t="shared" si="31"/>
        <v>1</v>
      </c>
      <c r="H122" s="994"/>
      <c r="I122" s="197">
        <f t="shared" si="32"/>
        <v>1</v>
      </c>
      <c r="J122" s="994"/>
      <c r="K122" s="197">
        <f t="shared" si="33"/>
        <v>1</v>
      </c>
      <c r="L122" s="994"/>
      <c r="M122" s="197">
        <f t="shared" si="34"/>
        <v>1</v>
      </c>
      <c r="N122" s="994"/>
      <c r="O122" s="197">
        <f t="shared" si="35"/>
        <v>1</v>
      </c>
      <c r="P122" s="994"/>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4"/>
      <c r="E123" s="197">
        <f t="shared" si="30"/>
        <v>0</v>
      </c>
      <c r="F123" s="994"/>
      <c r="G123" s="197">
        <f t="shared" si="31"/>
        <v>1</v>
      </c>
      <c r="H123" s="994"/>
      <c r="I123" s="197">
        <f t="shared" si="32"/>
        <v>1</v>
      </c>
      <c r="J123" s="994"/>
      <c r="K123" s="197">
        <f t="shared" si="33"/>
        <v>1</v>
      </c>
      <c r="L123" s="994"/>
      <c r="M123" s="197">
        <f t="shared" si="34"/>
        <v>1</v>
      </c>
      <c r="N123" s="994"/>
      <c r="O123" s="197">
        <f t="shared" si="35"/>
        <v>1</v>
      </c>
      <c r="P123" s="994"/>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4"/>
      <c r="E124" s="197">
        <f t="shared" si="30"/>
        <v>0</v>
      </c>
      <c r="F124" s="994"/>
      <c r="G124" s="197">
        <f t="shared" si="31"/>
        <v>1</v>
      </c>
      <c r="H124" s="994"/>
      <c r="I124" s="197">
        <f t="shared" si="32"/>
        <v>1</v>
      </c>
      <c r="J124" s="994"/>
      <c r="K124" s="197">
        <f t="shared" si="33"/>
        <v>1</v>
      </c>
      <c r="L124" s="994"/>
      <c r="M124" s="197">
        <f t="shared" si="34"/>
        <v>1</v>
      </c>
      <c r="N124" s="994"/>
      <c r="O124" s="197">
        <f t="shared" si="35"/>
        <v>1</v>
      </c>
      <c r="P124" s="994"/>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4"/>
      <c r="E125" s="197">
        <f t="shared" si="30"/>
        <v>0</v>
      </c>
      <c r="F125" s="994"/>
      <c r="G125" s="197">
        <f t="shared" si="31"/>
        <v>1</v>
      </c>
      <c r="H125" s="994"/>
      <c r="I125" s="197">
        <f t="shared" si="32"/>
        <v>1</v>
      </c>
      <c r="J125" s="994"/>
      <c r="K125" s="197">
        <f t="shared" si="33"/>
        <v>1</v>
      </c>
      <c r="L125" s="994"/>
      <c r="M125" s="197">
        <f t="shared" si="34"/>
        <v>1</v>
      </c>
      <c r="N125" s="994"/>
      <c r="O125" s="197">
        <f t="shared" si="35"/>
        <v>1</v>
      </c>
      <c r="P125" s="994"/>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4"/>
      <c r="E126" s="197">
        <f t="shared" si="30"/>
        <v>0</v>
      </c>
      <c r="F126" s="994"/>
      <c r="G126" s="197">
        <f t="shared" si="31"/>
        <v>1</v>
      </c>
      <c r="H126" s="994"/>
      <c r="I126" s="197">
        <f t="shared" si="32"/>
        <v>1</v>
      </c>
      <c r="J126" s="994"/>
      <c r="K126" s="197">
        <f t="shared" si="33"/>
        <v>1</v>
      </c>
      <c r="L126" s="994"/>
      <c r="M126" s="197">
        <f t="shared" si="34"/>
        <v>1</v>
      </c>
      <c r="N126" s="994"/>
      <c r="O126" s="197">
        <f t="shared" si="35"/>
        <v>1</v>
      </c>
      <c r="P126" s="994"/>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4"/>
      <c r="E127" s="197">
        <f t="shared" si="30"/>
        <v>0</v>
      </c>
      <c r="F127" s="994"/>
      <c r="G127" s="197">
        <f t="shared" si="31"/>
        <v>1</v>
      </c>
      <c r="H127" s="994"/>
      <c r="I127" s="197">
        <f t="shared" si="32"/>
        <v>1</v>
      </c>
      <c r="J127" s="994"/>
      <c r="K127" s="197">
        <f t="shared" si="33"/>
        <v>1</v>
      </c>
      <c r="L127" s="994"/>
      <c r="M127" s="197">
        <f t="shared" si="34"/>
        <v>1</v>
      </c>
      <c r="N127" s="994"/>
      <c r="O127" s="197">
        <f t="shared" si="35"/>
        <v>1</v>
      </c>
      <c r="P127" s="994"/>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4"/>
      <c r="E128" s="197">
        <f t="shared" si="30"/>
        <v>0</v>
      </c>
      <c r="F128" s="994"/>
      <c r="G128" s="197">
        <f t="shared" si="31"/>
        <v>1</v>
      </c>
      <c r="H128" s="994"/>
      <c r="I128" s="197">
        <f t="shared" si="32"/>
        <v>1</v>
      </c>
      <c r="J128" s="994"/>
      <c r="K128" s="197">
        <f t="shared" si="33"/>
        <v>1</v>
      </c>
      <c r="L128" s="994"/>
      <c r="M128" s="197">
        <f t="shared" si="34"/>
        <v>1</v>
      </c>
      <c r="N128" s="994"/>
      <c r="O128" s="197">
        <f t="shared" si="35"/>
        <v>1</v>
      </c>
      <c r="P128" s="994"/>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4"/>
      <c r="E129" s="197">
        <f t="shared" si="30"/>
        <v>0</v>
      </c>
      <c r="F129" s="994"/>
      <c r="G129" s="197">
        <f t="shared" si="31"/>
        <v>1</v>
      </c>
      <c r="H129" s="994"/>
      <c r="I129" s="197">
        <f t="shared" si="32"/>
        <v>1</v>
      </c>
      <c r="J129" s="994"/>
      <c r="K129" s="197">
        <f t="shared" si="33"/>
        <v>1</v>
      </c>
      <c r="L129" s="994"/>
      <c r="M129" s="197">
        <f t="shared" si="34"/>
        <v>1</v>
      </c>
      <c r="N129" s="994"/>
      <c r="O129" s="197">
        <f t="shared" si="35"/>
        <v>1</v>
      </c>
      <c r="P129" s="994"/>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4"/>
      <c r="E130" s="197">
        <f t="shared" si="30"/>
        <v>0</v>
      </c>
      <c r="F130" s="994"/>
      <c r="G130" s="197">
        <f t="shared" si="31"/>
        <v>1</v>
      </c>
      <c r="H130" s="994"/>
      <c r="I130" s="197">
        <f t="shared" si="32"/>
        <v>1</v>
      </c>
      <c r="J130" s="994"/>
      <c r="K130" s="197">
        <f t="shared" si="33"/>
        <v>1</v>
      </c>
      <c r="L130" s="994"/>
      <c r="M130" s="197">
        <f t="shared" si="34"/>
        <v>1</v>
      </c>
      <c r="N130" s="994"/>
      <c r="O130" s="197">
        <f t="shared" si="35"/>
        <v>1</v>
      </c>
      <c r="P130" s="994"/>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4"/>
      <c r="E131" s="197">
        <f t="shared" si="30"/>
        <v>0</v>
      </c>
      <c r="F131" s="994"/>
      <c r="G131" s="197">
        <f t="shared" si="31"/>
        <v>1</v>
      </c>
      <c r="H131" s="994"/>
      <c r="I131" s="197">
        <f t="shared" si="32"/>
        <v>1</v>
      </c>
      <c r="J131" s="994"/>
      <c r="K131" s="197">
        <f t="shared" si="33"/>
        <v>1</v>
      </c>
      <c r="L131" s="994"/>
      <c r="M131" s="197">
        <f t="shared" si="34"/>
        <v>1</v>
      </c>
      <c r="N131" s="994"/>
      <c r="O131" s="197">
        <f t="shared" si="35"/>
        <v>1</v>
      </c>
      <c r="P131" s="994"/>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4"/>
      <c r="E132" s="197">
        <f t="shared" si="30"/>
        <v>0</v>
      </c>
      <c r="F132" s="994"/>
      <c r="G132" s="197">
        <f t="shared" si="31"/>
        <v>1</v>
      </c>
      <c r="H132" s="994"/>
      <c r="I132" s="197">
        <f t="shared" si="32"/>
        <v>1</v>
      </c>
      <c r="J132" s="994"/>
      <c r="K132" s="197">
        <f t="shared" si="33"/>
        <v>1</v>
      </c>
      <c r="L132" s="994"/>
      <c r="M132" s="197">
        <f t="shared" si="34"/>
        <v>1</v>
      </c>
      <c r="N132" s="994"/>
      <c r="O132" s="197">
        <f t="shared" si="35"/>
        <v>1</v>
      </c>
      <c r="P132" s="994"/>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4"/>
      <c r="E133" s="197">
        <f t="shared" si="30"/>
        <v>0</v>
      </c>
      <c r="F133" s="994"/>
      <c r="G133" s="197">
        <f t="shared" si="31"/>
        <v>1</v>
      </c>
      <c r="H133" s="994"/>
      <c r="I133" s="197">
        <f t="shared" si="32"/>
        <v>1</v>
      </c>
      <c r="J133" s="994"/>
      <c r="K133" s="197">
        <f t="shared" si="33"/>
        <v>1</v>
      </c>
      <c r="L133" s="994"/>
      <c r="M133" s="197">
        <f t="shared" si="34"/>
        <v>1</v>
      </c>
      <c r="N133" s="994"/>
      <c r="O133" s="197">
        <f t="shared" si="35"/>
        <v>1</v>
      </c>
      <c r="P133" s="994"/>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4"/>
      <c r="E134" s="197">
        <f t="shared" si="30"/>
        <v>0</v>
      </c>
      <c r="F134" s="994"/>
      <c r="G134" s="197">
        <f t="shared" si="31"/>
        <v>1</v>
      </c>
      <c r="H134" s="994"/>
      <c r="I134" s="197">
        <f t="shared" si="32"/>
        <v>1</v>
      </c>
      <c r="J134" s="994"/>
      <c r="K134" s="197">
        <f t="shared" si="33"/>
        <v>1</v>
      </c>
      <c r="L134" s="994"/>
      <c r="M134" s="197">
        <f t="shared" si="34"/>
        <v>1</v>
      </c>
      <c r="N134" s="994"/>
      <c r="O134" s="197">
        <f t="shared" si="35"/>
        <v>1</v>
      </c>
      <c r="P134" s="994"/>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4"/>
      <c r="E135" s="197">
        <f t="shared" si="30"/>
        <v>0</v>
      </c>
      <c r="F135" s="994"/>
      <c r="G135" s="197">
        <f t="shared" si="31"/>
        <v>1</v>
      </c>
      <c r="H135" s="994"/>
      <c r="I135" s="197">
        <f t="shared" si="32"/>
        <v>1</v>
      </c>
      <c r="J135" s="994"/>
      <c r="K135" s="197">
        <f t="shared" si="33"/>
        <v>1</v>
      </c>
      <c r="L135" s="994"/>
      <c r="M135" s="197">
        <f t="shared" si="34"/>
        <v>1</v>
      </c>
      <c r="N135" s="994"/>
      <c r="O135" s="197">
        <f t="shared" si="35"/>
        <v>1</v>
      </c>
      <c r="P135" s="994"/>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4"/>
      <c r="E136" s="197">
        <f t="shared" si="30"/>
        <v>0</v>
      </c>
      <c r="F136" s="994"/>
      <c r="G136" s="197">
        <f t="shared" si="31"/>
        <v>1</v>
      </c>
      <c r="H136" s="994"/>
      <c r="I136" s="197">
        <f t="shared" si="32"/>
        <v>1</v>
      </c>
      <c r="J136" s="994"/>
      <c r="K136" s="197">
        <f t="shared" si="33"/>
        <v>1</v>
      </c>
      <c r="L136" s="994"/>
      <c r="M136" s="197">
        <f t="shared" si="34"/>
        <v>1</v>
      </c>
      <c r="N136" s="994"/>
      <c r="O136" s="197">
        <f t="shared" si="35"/>
        <v>1</v>
      </c>
      <c r="P136" s="994"/>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4"/>
      <c r="E137" s="197">
        <f t="shared" si="30"/>
        <v>0</v>
      </c>
      <c r="F137" s="994"/>
      <c r="G137" s="197">
        <f t="shared" si="31"/>
        <v>1</v>
      </c>
      <c r="H137" s="994"/>
      <c r="I137" s="197">
        <f t="shared" si="32"/>
        <v>1</v>
      </c>
      <c r="J137" s="994"/>
      <c r="K137" s="197">
        <f t="shared" si="33"/>
        <v>1</v>
      </c>
      <c r="L137" s="994"/>
      <c r="M137" s="197">
        <f t="shared" si="34"/>
        <v>1</v>
      </c>
      <c r="N137" s="994"/>
      <c r="O137" s="197">
        <f t="shared" si="35"/>
        <v>1</v>
      </c>
      <c r="P137" s="994"/>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4"/>
      <c r="E138" s="197">
        <f t="shared" si="30"/>
        <v>0</v>
      </c>
      <c r="F138" s="994"/>
      <c r="G138" s="197">
        <f t="shared" si="31"/>
        <v>1</v>
      </c>
      <c r="H138" s="994"/>
      <c r="I138" s="197">
        <f t="shared" si="32"/>
        <v>1</v>
      </c>
      <c r="J138" s="994"/>
      <c r="K138" s="197">
        <f t="shared" si="33"/>
        <v>1</v>
      </c>
      <c r="L138" s="994"/>
      <c r="M138" s="197">
        <f t="shared" si="34"/>
        <v>1</v>
      </c>
      <c r="N138" s="994"/>
      <c r="O138" s="197">
        <f t="shared" si="35"/>
        <v>1</v>
      </c>
      <c r="P138" s="994"/>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4"/>
      <c r="E139" s="197">
        <f t="shared" si="30"/>
        <v>0</v>
      </c>
      <c r="F139" s="994"/>
      <c r="G139" s="197">
        <f t="shared" si="31"/>
        <v>1</v>
      </c>
      <c r="H139" s="994"/>
      <c r="I139" s="197">
        <f t="shared" si="32"/>
        <v>1</v>
      </c>
      <c r="J139" s="994"/>
      <c r="K139" s="197">
        <f t="shared" si="33"/>
        <v>1</v>
      </c>
      <c r="L139" s="994"/>
      <c r="M139" s="197">
        <f t="shared" si="34"/>
        <v>1</v>
      </c>
      <c r="N139" s="994"/>
      <c r="O139" s="197">
        <f t="shared" si="35"/>
        <v>1</v>
      </c>
      <c r="P139" s="994"/>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4"/>
      <c r="E140" s="197">
        <f t="shared" si="30"/>
        <v>0</v>
      </c>
      <c r="F140" s="994"/>
      <c r="G140" s="197">
        <f t="shared" si="31"/>
        <v>1</v>
      </c>
      <c r="H140" s="994"/>
      <c r="I140" s="197">
        <f t="shared" si="32"/>
        <v>1</v>
      </c>
      <c r="J140" s="994"/>
      <c r="K140" s="197">
        <f t="shared" si="33"/>
        <v>1</v>
      </c>
      <c r="L140" s="994"/>
      <c r="M140" s="197">
        <f t="shared" si="34"/>
        <v>1</v>
      </c>
      <c r="N140" s="994"/>
      <c r="O140" s="197">
        <f t="shared" si="35"/>
        <v>1</v>
      </c>
      <c r="P140" s="994"/>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4"/>
      <c r="E141" s="197">
        <f t="shared" si="30"/>
        <v>0</v>
      </c>
      <c r="F141" s="994"/>
      <c r="G141" s="197">
        <f t="shared" si="31"/>
        <v>1</v>
      </c>
      <c r="H141" s="994"/>
      <c r="I141" s="197">
        <f t="shared" si="32"/>
        <v>1</v>
      </c>
      <c r="J141" s="994"/>
      <c r="K141" s="197">
        <f t="shared" si="33"/>
        <v>1</v>
      </c>
      <c r="L141" s="994"/>
      <c r="M141" s="197">
        <f t="shared" si="34"/>
        <v>1</v>
      </c>
      <c r="N141" s="994"/>
      <c r="O141" s="197">
        <f t="shared" si="35"/>
        <v>1</v>
      </c>
      <c r="P141" s="994"/>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4"/>
      <c r="E142" s="197">
        <f t="shared" si="30"/>
        <v>0</v>
      </c>
      <c r="F142" s="994"/>
      <c r="G142" s="197">
        <f t="shared" si="31"/>
        <v>1</v>
      </c>
      <c r="H142" s="994"/>
      <c r="I142" s="197">
        <f t="shared" si="32"/>
        <v>1</v>
      </c>
      <c r="J142" s="994"/>
      <c r="K142" s="197">
        <f t="shared" si="33"/>
        <v>1</v>
      </c>
      <c r="L142" s="994"/>
      <c r="M142" s="197">
        <f t="shared" si="34"/>
        <v>1</v>
      </c>
      <c r="N142" s="994"/>
      <c r="O142" s="197">
        <f t="shared" si="35"/>
        <v>1</v>
      </c>
      <c r="P142" s="994"/>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4"/>
      <c r="E143" s="197">
        <f t="shared" si="30"/>
        <v>0</v>
      </c>
      <c r="F143" s="994"/>
      <c r="G143" s="197">
        <f t="shared" si="31"/>
        <v>1</v>
      </c>
      <c r="H143" s="994"/>
      <c r="I143" s="197">
        <f t="shared" si="32"/>
        <v>1</v>
      </c>
      <c r="J143" s="994"/>
      <c r="K143" s="197">
        <f t="shared" si="33"/>
        <v>1</v>
      </c>
      <c r="L143" s="994"/>
      <c r="M143" s="197">
        <f t="shared" si="34"/>
        <v>1</v>
      </c>
      <c r="N143" s="994"/>
      <c r="O143" s="197">
        <f t="shared" si="35"/>
        <v>1</v>
      </c>
      <c r="P143" s="994"/>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4"/>
      <c r="E144" s="197">
        <f t="shared" si="30"/>
        <v>0</v>
      </c>
      <c r="F144" s="994"/>
      <c r="G144" s="197">
        <f t="shared" si="31"/>
        <v>1</v>
      </c>
      <c r="H144" s="994"/>
      <c r="I144" s="197">
        <f t="shared" si="32"/>
        <v>1</v>
      </c>
      <c r="J144" s="994"/>
      <c r="K144" s="197">
        <f t="shared" si="33"/>
        <v>1</v>
      </c>
      <c r="L144" s="994"/>
      <c r="M144" s="197">
        <f t="shared" si="34"/>
        <v>1</v>
      </c>
      <c r="N144" s="994"/>
      <c r="O144" s="197">
        <f t="shared" si="35"/>
        <v>1</v>
      </c>
      <c r="P144" s="994"/>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4"/>
      <c r="E145" s="197">
        <f t="shared" si="30"/>
        <v>0</v>
      </c>
      <c r="F145" s="994"/>
      <c r="G145" s="197">
        <f t="shared" si="31"/>
        <v>1</v>
      </c>
      <c r="H145" s="994"/>
      <c r="I145" s="197">
        <f t="shared" si="32"/>
        <v>1</v>
      </c>
      <c r="J145" s="994"/>
      <c r="K145" s="197">
        <f t="shared" si="33"/>
        <v>1</v>
      </c>
      <c r="L145" s="994"/>
      <c r="M145" s="197">
        <f t="shared" si="34"/>
        <v>1</v>
      </c>
      <c r="N145" s="994"/>
      <c r="O145" s="197">
        <f t="shared" si="35"/>
        <v>1</v>
      </c>
      <c r="P145" s="994"/>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4"/>
      <c r="E146" s="197">
        <f t="shared" si="30"/>
        <v>0</v>
      </c>
      <c r="F146" s="994"/>
      <c r="G146" s="197">
        <f t="shared" si="31"/>
        <v>1</v>
      </c>
      <c r="H146" s="994"/>
      <c r="I146" s="197">
        <f t="shared" si="32"/>
        <v>1</v>
      </c>
      <c r="J146" s="994"/>
      <c r="K146" s="197">
        <f t="shared" si="33"/>
        <v>1</v>
      </c>
      <c r="L146" s="994"/>
      <c r="M146" s="197">
        <f t="shared" si="34"/>
        <v>1</v>
      </c>
      <c r="N146" s="994"/>
      <c r="O146" s="197">
        <f t="shared" si="35"/>
        <v>1</v>
      </c>
      <c r="P146" s="994"/>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4"/>
      <c r="E147" s="197">
        <f t="shared" si="30"/>
        <v>0</v>
      </c>
      <c r="F147" s="994"/>
      <c r="G147" s="197">
        <f t="shared" si="31"/>
        <v>1</v>
      </c>
      <c r="H147" s="994"/>
      <c r="I147" s="197">
        <f t="shared" si="32"/>
        <v>1</v>
      </c>
      <c r="J147" s="994"/>
      <c r="K147" s="197">
        <f t="shared" si="33"/>
        <v>1</v>
      </c>
      <c r="L147" s="994"/>
      <c r="M147" s="197">
        <f t="shared" si="34"/>
        <v>1</v>
      </c>
      <c r="N147" s="994"/>
      <c r="O147" s="197">
        <f t="shared" si="35"/>
        <v>1</v>
      </c>
      <c r="P147" s="994"/>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4"/>
      <c r="E148" s="197">
        <f t="shared" si="30"/>
        <v>0</v>
      </c>
      <c r="F148" s="994"/>
      <c r="G148" s="197">
        <f t="shared" si="31"/>
        <v>1</v>
      </c>
      <c r="H148" s="994"/>
      <c r="I148" s="197">
        <f t="shared" si="32"/>
        <v>1</v>
      </c>
      <c r="J148" s="994"/>
      <c r="K148" s="197">
        <f t="shared" si="33"/>
        <v>1</v>
      </c>
      <c r="L148" s="994"/>
      <c r="M148" s="197">
        <f t="shared" si="34"/>
        <v>1</v>
      </c>
      <c r="N148" s="994"/>
      <c r="O148" s="197">
        <f t="shared" si="35"/>
        <v>1</v>
      </c>
      <c r="P148" s="994"/>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4"/>
      <c r="E149" s="197">
        <f t="shared" si="30"/>
        <v>0</v>
      </c>
      <c r="F149" s="994"/>
      <c r="G149" s="197">
        <f t="shared" si="31"/>
        <v>1</v>
      </c>
      <c r="H149" s="994"/>
      <c r="I149" s="197">
        <f t="shared" si="32"/>
        <v>1</v>
      </c>
      <c r="J149" s="994"/>
      <c r="K149" s="197">
        <f t="shared" si="33"/>
        <v>1</v>
      </c>
      <c r="L149" s="994"/>
      <c r="M149" s="197">
        <f t="shared" si="34"/>
        <v>1</v>
      </c>
      <c r="N149" s="994"/>
      <c r="O149" s="197">
        <f t="shared" si="35"/>
        <v>1</v>
      </c>
      <c r="P149" s="994"/>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4"/>
      <c r="E150" s="197">
        <f t="shared" si="30"/>
        <v>0</v>
      </c>
      <c r="F150" s="994"/>
      <c r="G150" s="197">
        <f t="shared" si="31"/>
        <v>1</v>
      </c>
      <c r="H150" s="994"/>
      <c r="I150" s="197">
        <f t="shared" si="32"/>
        <v>1</v>
      </c>
      <c r="J150" s="994"/>
      <c r="K150" s="197">
        <f t="shared" si="33"/>
        <v>1</v>
      </c>
      <c r="L150" s="994"/>
      <c r="M150" s="197">
        <f t="shared" si="34"/>
        <v>1</v>
      </c>
      <c r="N150" s="994"/>
      <c r="O150" s="197">
        <f t="shared" si="35"/>
        <v>1</v>
      </c>
      <c r="P150" s="994"/>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4"/>
      <c r="E151" s="197">
        <f t="shared" si="30"/>
        <v>0</v>
      </c>
      <c r="F151" s="994"/>
      <c r="G151" s="197">
        <f t="shared" si="31"/>
        <v>1</v>
      </c>
      <c r="H151" s="994"/>
      <c r="I151" s="197">
        <f t="shared" si="32"/>
        <v>1</v>
      </c>
      <c r="J151" s="994"/>
      <c r="K151" s="197">
        <f t="shared" si="33"/>
        <v>1</v>
      </c>
      <c r="L151" s="994"/>
      <c r="M151" s="197">
        <f t="shared" si="34"/>
        <v>1</v>
      </c>
      <c r="N151" s="994"/>
      <c r="O151" s="197">
        <f t="shared" si="35"/>
        <v>1</v>
      </c>
      <c r="P151" s="994"/>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4"/>
      <c r="E152" s="197">
        <f t="shared" si="30"/>
        <v>0</v>
      </c>
      <c r="F152" s="994"/>
      <c r="G152" s="197">
        <f t="shared" si="31"/>
        <v>1</v>
      </c>
      <c r="H152" s="994"/>
      <c r="I152" s="197">
        <f t="shared" si="32"/>
        <v>1</v>
      </c>
      <c r="J152" s="994"/>
      <c r="K152" s="197">
        <f t="shared" si="33"/>
        <v>1</v>
      </c>
      <c r="L152" s="994"/>
      <c r="M152" s="197">
        <f t="shared" si="34"/>
        <v>1</v>
      </c>
      <c r="N152" s="994"/>
      <c r="O152" s="197">
        <f t="shared" si="35"/>
        <v>1</v>
      </c>
      <c r="P152" s="994"/>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4"/>
      <c r="E153" s="197">
        <f t="shared" si="30"/>
        <v>0</v>
      </c>
      <c r="F153" s="994"/>
      <c r="G153" s="197">
        <f t="shared" si="31"/>
        <v>1</v>
      </c>
      <c r="H153" s="994"/>
      <c r="I153" s="197">
        <f t="shared" si="32"/>
        <v>1</v>
      </c>
      <c r="J153" s="994"/>
      <c r="K153" s="197">
        <f t="shared" si="33"/>
        <v>1</v>
      </c>
      <c r="L153" s="994"/>
      <c r="M153" s="197">
        <f t="shared" si="34"/>
        <v>1</v>
      </c>
      <c r="N153" s="994"/>
      <c r="O153" s="197">
        <f t="shared" si="35"/>
        <v>1</v>
      </c>
      <c r="P153" s="994"/>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4"/>
      <c r="E154" s="197">
        <f t="shared" si="30"/>
        <v>0</v>
      </c>
      <c r="F154" s="994"/>
      <c r="G154" s="197">
        <f t="shared" si="31"/>
        <v>1</v>
      </c>
      <c r="H154" s="994"/>
      <c r="I154" s="197">
        <f t="shared" si="32"/>
        <v>1</v>
      </c>
      <c r="J154" s="994"/>
      <c r="K154" s="197">
        <f t="shared" si="33"/>
        <v>1</v>
      </c>
      <c r="L154" s="994"/>
      <c r="M154" s="197">
        <f t="shared" si="34"/>
        <v>1</v>
      </c>
      <c r="N154" s="994"/>
      <c r="O154" s="197">
        <f t="shared" si="35"/>
        <v>1</v>
      </c>
      <c r="P154" s="994"/>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4"/>
      <c r="E155" s="197">
        <f t="shared" si="30"/>
        <v>0</v>
      </c>
      <c r="F155" s="994"/>
      <c r="G155" s="197">
        <f t="shared" si="31"/>
        <v>1</v>
      </c>
      <c r="H155" s="994"/>
      <c r="I155" s="197">
        <f t="shared" si="32"/>
        <v>1</v>
      </c>
      <c r="J155" s="994"/>
      <c r="K155" s="197">
        <f t="shared" si="33"/>
        <v>1</v>
      </c>
      <c r="L155" s="994"/>
      <c r="M155" s="197">
        <f t="shared" si="34"/>
        <v>1</v>
      </c>
      <c r="N155" s="994"/>
      <c r="O155" s="197">
        <f t="shared" si="35"/>
        <v>1</v>
      </c>
      <c r="P155" s="994"/>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4"/>
      <c r="E156" s="197">
        <f t="shared" ref="E156:E219" si="45">(SUMIF($8:$8,D156,$9:$9)-SUMIF($8:$8,$D$27,$9:$9)+100)/100</f>
        <v>0</v>
      </c>
      <c r="F156" s="994"/>
      <c r="G156" s="197">
        <f t="shared" ref="G156:G219" si="46">(SUMIF($10:$10,F156,$11:$11)-SUMIF($10:$10,$F$27,$11:$11)+100)/100</f>
        <v>1</v>
      </c>
      <c r="H156" s="994"/>
      <c r="I156" s="197">
        <f t="shared" ref="I156:I219" si="47">(SUMIF($12:$12,H156,$13:$13)-SUMIF($12:$12,$H$27,$13:$13)+100)/100</f>
        <v>1</v>
      </c>
      <c r="J156" s="994"/>
      <c r="K156" s="197">
        <f t="shared" ref="K156:K219" si="48">(SUMIF($14:$14,J156,$15:$15)-SUMIF($14:$14,$J$27,$15:$15)+100)/100</f>
        <v>1</v>
      </c>
      <c r="L156" s="994"/>
      <c r="M156" s="197">
        <f t="shared" ref="M156:M219" si="49">(SUMIF($16:$16,L156,$17:$17)-SUMIF($16:$16,$L$27,$17:$17)+100)/100</f>
        <v>1</v>
      </c>
      <c r="N156" s="994"/>
      <c r="O156" s="197">
        <f t="shared" ref="O156:O219" si="50">(SUMIF($18:$18,N156,$19:$19)-SUMIF($18:$18,$N$27,$19:$19)+100)/100</f>
        <v>1</v>
      </c>
      <c r="P156" s="994"/>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4"/>
      <c r="E157" s="197">
        <f t="shared" si="45"/>
        <v>0</v>
      </c>
      <c r="F157" s="994"/>
      <c r="G157" s="197">
        <f t="shared" si="46"/>
        <v>1</v>
      </c>
      <c r="H157" s="994"/>
      <c r="I157" s="197">
        <f t="shared" si="47"/>
        <v>1</v>
      </c>
      <c r="J157" s="994"/>
      <c r="K157" s="197">
        <f t="shared" si="48"/>
        <v>1</v>
      </c>
      <c r="L157" s="994"/>
      <c r="M157" s="197">
        <f t="shared" si="49"/>
        <v>1</v>
      </c>
      <c r="N157" s="994"/>
      <c r="O157" s="197">
        <f t="shared" si="50"/>
        <v>1</v>
      </c>
      <c r="P157" s="994"/>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4"/>
      <c r="E158" s="197">
        <f t="shared" si="45"/>
        <v>0</v>
      </c>
      <c r="F158" s="994"/>
      <c r="G158" s="197">
        <f t="shared" si="46"/>
        <v>1</v>
      </c>
      <c r="H158" s="994"/>
      <c r="I158" s="197">
        <f t="shared" si="47"/>
        <v>1</v>
      </c>
      <c r="J158" s="994"/>
      <c r="K158" s="197">
        <f t="shared" si="48"/>
        <v>1</v>
      </c>
      <c r="L158" s="994"/>
      <c r="M158" s="197">
        <f t="shared" si="49"/>
        <v>1</v>
      </c>
      <c r="N158" s="994"/>
      <c r="O158" s="197">
        <f t="shared" si="50"/>
        <v>1</v>
      </c>
      <c r="P158" s="994"/>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4"/>
      <c r="E159" s="197">
        <f t="shared" si="45"/>
        <v>0</v>
      </c>
      <c r="F159" s="994"/>
      <c r="G159" s="197">
        <f t="shared" si="46"/>
        <v>1</v>
      </c>
      <c r="H159" s="994"/>
      <c r="I159" s="197">
        <f t="shared" si="47"/>
        <v>1</v>
      </c>
      <c r="J159" s="994"/>
      <c r="K159" s="197">
        <f t="shared" si="48"/>
        <v>1</v>
      </c>
      <c r="L159" s="994"/>
      <c r="M159" s="197">
        <f t="shared" si="49"/>
        <v>1</v>
      </c>
      <c r="N159" s="994"/>
      <c r="O159" s="197">
        <f t="shared" si="50"/>
        <v>1</v>
      </c>
      <c r="P159" s="994"/>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4"/>
      <c r="E160" s="197">
        <f t="shared" si="45"/>
        <v>0</v>
      </c>
      <c r="F160" s="994"/>
      <c r="G160" s="197">
        <f t="shared" si="46"/>
        <v>1</v>
      </c>
      <c r="H160" s="994"/>
      <c r="I160" s="197">
        <f t="shared" si="47"/>
        <v>1</v>
      </c>
      <c r="J160" s="994"/>
      <c r="K160" s="197">
        <f t="shared" si="48"/>
        <v>1</v>
      </c>
      <c r="L160" s="994"/>
      <c r="M160" s="197">
        <f t="shared" si="49"/>
        <v>1</v>
      </c>
      <c r="N160" s="994"/>
      <c r="O160" s="197">
        <f t="shared" si="50"/>
        <v>1</v>
      </c>
      <c r="P160" s="994"/>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4"/>
      <c r="E161" s="197">
        <f t="shared" si="45"/>
        <v>0</v>
      </c>
      <c r="F161" s="994"/>
      <c r="G161" s="197">
        <f t="shared" si="46"/>
        <v>1</v>
      </c>
      <c r="H161" s="994"/>
      <c r="I161" s="197">
        <f t="shared" si="47"/>
        <v>1</v>
      </c>
      <c r="J161" s="994"/>
      <c r="K161" s="197">
        <f t="shared" si="48"/>
        <v>1</v>
      </c>
      <c r="L161" s="994"/>
      <c r="M161" s="197">
        <f t="shared" si="49"/>
        <v>1</v>
      </c>
      <c r="N161" s="994"/>
      <c r="O161" s="197">
        <f t="shared" si="50"/>
        <v>1</v>
      </c>
      <c r="P161" s="994"/>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4"/>
      <c r="E162" s="197">
        <f t="shared" si="45"/>
        <v>0</v>
      </c>
      <c r="F162" s="994"/>
      <c r="G162" s="197">
        <f t="shared" si="46"/>
        <v>1</v>
      </c>
      <c r="H162" s="994"/>
      <c r="I162" s="197">
        <f t="shared" si="47"/>
        <v>1</v>
      </c>
      <c r="J162" s="994"/>
      <c r="K162" s="197">
        <f t="shared" si="48"/>
        <v>1</v>
      </c>
      <c r="L162" s="994"/>
      <c r="M162" s="197">
        <f t="shared" si="49"/>
        <v>1</v>
      </c>
      <c r="N162" s="994"/>
      <c r="O162" s="197">
        <f t="shared" si="50"/>
        <v>1</v>
      </c>
      <c r="P162" s="994"/>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4"/>
      <c r="E163" s="197">
        <f t="shared" si="45"/>
        <v>0</v>
      </c>
      <c r="F163" s="994"/>
      <c r="G163" s="197">
        <f t="shared" si="46"/>
        <v>1</v>
      </c>
      <c r="H163" s="994"/>
      <c r="I163" s="197">
        <f t="shared" si="47"/>
        <v>1</v>
      </c>
      <c r="J163" s="994"/>
      <c r="K163" s="197">
        <f t="shared" si="48"/>
        <v>1</v>
      </c>
      <c r="L163" s="994"/>
      <c r="M163" s="197">
        <f t="shared" si="49"/>
        <v>1</v>
      </c>
      <c r="N163" s="994"/>
      <c r="O163" s="197">
        <f t="shared" si="50"/>
        <v>1</v>
      </c>
      <c r="P163" s="994"/>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4"/>
      <c r="E164" s="197">
        <f t="shared" si="45"/>
        <v>0</v>
      </c>
      <c r="F164" s="994"/>
      <c r="G164" s="197">
        <f t="shared" si="46"/>
        <v>1</v>
      </c>
      <c r="H164" s="994"/>
      <c r="I164" s="197">
        <f t="shared" si="47"/>
        <v>1</v>
      </c>
      <c r="J164" s="994"/>
      <c r="K164" s="197">
        <f t="shared" si="48"/>
        <v>1</v>
      </c>
      <c r="L164" s="994"/>
      <c r="M164" s="197">
        <f t="shared" si="49"/>
        <v>1</v>
      </c>
      <c r="N164" s="994"/>
      <c r="O164" s="197">
        <f t="shared" si="50"/>
        <v>1</v>
      </c>
      <c r="P164" s="994"/>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4"/>
      <c r="E165" s="197">
        <f t="shared" si="45"/>
        <v>0</v>
      </c>
      <c r="F165" s="994"/>
      <c r="G165" s="197">
        <f t="shared" si="46"/>
        <v>1</v>
      </c>
      <c r="H165" s="994"/>
      <c r="I165" s="197">
        <f t="shared" si="47"/>
        <v>1</v>
      </c>
      <c r="J165" s="994"/>
      <c r="K165" s="197">
        <f t="shared" si="48"/>
        <v>1</v>
      </c>
      <c r="L165" s="994"/>
      <c r="M165" s="197">
        <f t="shared" si="49"/>
        <v>1</v>
      </c>
      <c r="N165" s="994"/>
      <c r="O165" s="197">
        <f t="shared" si="50"/>
        <v>1</v>
      </c>
      <c r="P165" s="994"/>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4"/>
      <c r="E166" s="197">
        <f t="shared" si="45"/>
        <v>0</v>
      </c>
      <c r="F166" s="994"/>
      <c r="G166" s="197">
        <f t="shared" si="46"/>
        <v>1</v>
      </c>
      <c r="H166" s="994"/>
      <c r="I166" s="197">
        <f t="shared" si="47"/>
        <v>1</v>
      </c>
      <c r="J166" s="994"/>
      <c r="K166" s="197">
        <f t="shared" si="48"/>
        <v>1</v>
      </c>
      <c r="L166" s="994"/>
      <c r="M166" s="197">
        <f t="shared" si="49"/>
        <v>1</v>
      </c>
      <c r="N166" s="994"/>
      <c r="O166" s="197">
        <f t="shared" si="50"/>
        <v>1</v>
      </c>
      <c r="P166" s="994"/>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4"/>
      <c r="E167" s="197">
        <f t="shared" si="45"/>
        <v>0</v>
      </c>
      <c r="F167" s="994"/>
      <c r="G167" s="197">
        <f t="shared" si="46"/>
        <v>1</v>
      </c>
      <c r="H167" s="994"/>
      <c r="I167" s="197">
        <f t="shared" si="47"/>
        <v>1</v>
      </c>
      <c r="J167" s="994"/>
      <c r="K167" s="197">
        <f t="shared" si="48"/>
        <v>1</v>
      </c>
      <c r="L167" s="994"/>
      <c r="M167" s="197">
        <f t="shared" si="49"/>
        <v>1</v>
      </c>
      <c r="N167" s="994"/>
      <c r="O167" s="197">
        <f t="shared" si="50"/>
        <v>1</v>
      </c>
      <c r="P167" s="994"/>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4"/>
      <c r="E168" s="197">
        <f t="shared" si="45"/>
        <v>0</v>
      </c>
      <c r="F168" s="994"/>
      <c r="G168" s="197">
        <f t="shared" si="46"/>
        <v>1</v>
      </c>
      <c r="H168" s="994"/>
      <c r="I168" s="197">
        <f t="shared" si="47"/>
        <v>1</v>
      </c>
      <c r="J168" s="994"/>
      <c r="K168" s="197">
        <f t="shared" si="48"/>
        <v>1</v>
      </c>
      <c r="L168" s="994"/>
      <c r="M168" s="197">
        <f t="shared" si="49"/>
        <v>1</v>
      </c>
      <c r="N168" s="994"/>
      <c r="O168" s="197">
        <f t="shared" si="50"/>
        <v>1</v>
      </c>
      <c r="P168" s="994"/>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4"/>
      <c r="E169" s="197">
        <f t="shared" si="45"/>
        <v>0</v>
      </c>
      <c r="F169" s="994"/>
      <c r="G169" s="197">
        <f t="shared" si="46"/>
        <v>1</v>
      </c>
      <c r="H169" s="994"/>
      <c r="I169" s="197">
        <f t="shared" si="47"/>
        <v>1</v>
      </c>
      <c r="J169" s="994"/>
      <c r="K169" s="197">
        <f t="shared" si="48"/>
        <v>1</v>
      </c>
      <c r="L169" s="994"/>
      <c r="M169" s="197">
        <f t="shared" si="49"/>
        <v>1</v>
      </c>
      <c r="N169" s="994"/>
      <c r="O169" s="197">
        <f t="shared" si="50"/>
        <v>1</v>
      </c>
      <c r="P169" s="994"/>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4"/>
      <c r="E170" s="197">
        <f t="shared" si="45"/>
        <v>0</v>
      </c>
      <c r="F170" s="994"/>
      <c r="G170" s="197">
        <f t="shared" si="46"/>
        <v>1</v>
      </c>
      <c r="H170" s="994"/>
      <c r="I170" s="197">
        <f t="shared" si="47"/>
        <v>1</v>
      </c>
      <c r="J170" s="994"/>
      <c r="K170" s="197">
        <f t="shared" si="48"/>
        <v>1</v>
      </c>
      <c r="L170" s="994"/>
      <c r="M170" s="197">
        <f t="shared" si="49"/>
        <v>1</v>
      </c>
      <c r="N170" s="994"/>
      <c r="O170" s="197">
        <f t="shared" si="50"/>
        <v>1</v>
      </c>
      <c r="P170" s="994"/>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4"/>
      <c r="E171" s="197">
        <f t="shared" si="45"/>
        <v>0</v>
      </c>
      <c r="F171" s="994"/>
      <c r="G171" s="197">
        <f t="shared" si="46"/>
        <v>1</v>
      </c>
      <c r="H171" s="994"/>
      <c r="I171" s="197">
        <f t="shared" si="47"/>
        <v>1</v>
      </c>
      <c r="J171" s="994"/>
      <c r="K171" s="197">
        <f t="shared" si="48"/>
        <v>1</v>
      </c>
      <c r="L171" s="994"/>
      <c r="M171" s="197">
        <f t="shared" si="49"/>
        <v>1</v>
      </c>
      <c r="N171" s="994"/>
      <c r="O171" s="197">
        <f t="shared" si="50"/>
        <v>1</v>
      </c>
      <c r="P171" s="994"/>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4"/>
      <c r="E172" s="197">
        <f t="shared" si="45"/>
        <v>0</v>
      </c>
      <c r="F172" s="994"/>
      <c r="G172" s="197">
        <f t="shared" si="46"/>
        <v>1</v>
      </c>
      <c r="H172" s="994"/>
      <c r="I172" s="197">
        <f t="shared" si="47"/>
        <v>1</v>
      </c>
      <c r="J172" s="994"/>
      <c r="K172" s="197">
        <f t="shared" si="48"/>
        <v>1</v>
      </c>
      <c r="L172" s="994"/>
      <c r="M172" s="197">
        <f t="shared" si="49"/>
        <v>1</v>
      </c>
      <c r="N172" s="994"/>
      <c r="O172" s="197">
        <f t="shared" si="50"/>
        <v>1</v>
      </c>
      <c r="P172" s="994"/>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4"/>
      <c r="E173" s="197">
        <f t="shared" si="45"/>
        <v>0</v>
      </c>
      <c r="F173" s="994"/>
      <c r="G173" s="197">
        <f t="shared" si="46"/>
        <v>1</v>
      </c>
      <c r="H173" s="994"/>
      <c r="I173" s="197">
        <f t="shared" si="47"/>
        <v>1</v>
      </c>
      <c r="J173" s="994"/>
      <c r="K173" s="197">
        <f t="shared" si="48"/>
        <v>1</v>
      </c>
      <c r="L173" s="994"/>
      <c r="M173" s="197">
        <f t="shared" si="49"/>
        <v>1</v>
      </c>
      <c r="N173" s="994"/>
      <c r="O173" s="197">
        <f t="shared" si="50"/>
        <v>1</v>
      </c>
      <c r="P173" s="994"/>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4"/>
      <c r="E174" s="197">
        <f t="shared" si="45"/>
        <v>0</v>
      </c>
      <c r="F174" s="994"/>
      <c r="G174" s="197">
        <f t="shared" si="46"/>
        <v>1</v>
      </c>
      <c r="H174" s="994"/>
      <c r="I174" s="197">
        <f t="shared" si="47"/>
        <v>1</v>
      </c>
      <c r="J174" s="994"/>
      <c r="K174" s="197">
        <f t="shared" si="48"/>
        <v>1</v>
      </c>
      <c r="L174" s="994"/>
      <c r="M174" s="197">
        <f t="shared" si="49"/>
        <v>1</v>
      </c>
      <c r="N174" s="994"/>
      <c r="O174" s="197">
        <f t="shared" si="50"/>
        <v>1</v>
      </c>
      <c r="P174" s="994"/>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4"/>
      <c r="E175" s="197">
        <f t="shared" si="45"/>
        <v>0</v>
      </c>
      <c r="F175" s="994"/>
      <c r="G175" s="197">
        <f t="shared" si="46"/>
        <v>1</v>
      </c>
      <c r="H175" s="994"/>
      <c r="I175" s="197">
        <f t="shared" si="47"/>
        <v>1</v>
      </c>
      <c r="J175" s="994"/>
      <c r="K175" s="197">
        <f t="shared" si="48"/>
        <v>1</v>
      </c>
      <c r="L175" s="994"/>
      <c r="M175" s="197">
        <f t="shared" si="49"/>
        <v>1</v>
      </c>
      <c r="N175" s="994"/>
      <c r="O175" s="197">
        <f t="shared" si="50"/>
        <v>1</v>
      </c>
      <c r="P175" s="994"/>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4"/>
      <c r="E176" s="197">
        <f t="shared" si="45"/>
        <v>0</v>
      </c>
      <c r="F176" s="994"/>
      <c r="G176" s="197">
        <f t="shared" si="46"/>
        <v>1</v>
      </c>
      <c r="H176" s="994"/>
      <c r="I176" s="197">
        <f t="shared" si="47"/>
        <v>1</v>
      </c>
      <c r="J176" s="994"/>
      <c r="K176" s="197">
        <f t="shared" si="48"/>
        <v>1</v>
      </c>
      <c r="L176" s="994"/>
      <c r="M176" s="197">
        <f t="shared" si="49"/>
        <v>1</v>
      </c>
      <c r="N176" s="994"/>
      <c r="O176" s="197">
        <f t="shared" si="50"/>
        <v>1</v>
      </c>
      <c r="P176" s="994"/>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4"/>
      <c r="E177" s="197">
        <f t="shared" si="45"/>
        <v>0</v>
      </c>
      <c r="F177" s="994"/>
      <c r="G177" s="197">
        <f t="shared" si="46"/>
        <v>1</v>
      </c>
      <c r="H177" s="994"/>
      <c r="I177" s="197">
        <f t="shared" si="47"/>
        <v>1</v>
      </c>
      <c r="J177" s="994"/>
      <c r="K177" s="197">
        <f t="shared" si="48"/>
        <v>1</v>
      </c>
      <c r="L177" s="994"/>
      <c r="M177" s="197">
        <f t="shared" si="49"/>
        <v>1</v>
      </c>
      <c r="N177" s="994"/>
      <c r="O177" s="197">
        <f t="shared" si="50"/>
        <v>1</v>
      </c>
      <c r="P177" s="994"/>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4"/>
      <c r="E178" s="197">
        <f t="shared" si="45"/>
        <v>0</v>
      </c>
      <c r="F178" s="994"/>
      <c r="G178" s="197">
        <f t="shared" si="46"/>
        <v>1</v>
      </c>
      <c r="H178" s="994"/>
      <c r="I178" s="197">
        <f t="shared" si="47"/>
        <v>1</v>
      </c>
      <c r="J178" s="994"/>
      <c r="K178" s="197">
        <f t="shared" si="48"/>
        <v>1</v>
      </c>
      <c r="L178" s="994"/>
      <c r="M178" s="197">
        <f t="shared" si="49"/>
        <v>1</v>
      </c>
      <c r="N178" s="994"/>
      <c r="O178" s="197">
        <f t="shared" si="50"/>
        <v>1</v>
      </c>
      <c r="P178" s="994"/>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4"/>
      <c r="E179" s="197">
        <f t="shared" si="45"/>
        <v>0</v>
      </c>
      <c r="F179" s="994"/>
      <c r="G179" s="197">
        <f t="shared" si="46"/>
        <v>1</v>
      </c>
      <c r="H179" s="994"/>
      <c r="I179" s="197">
        <f t="shared" si="47"/>
        <v>1</v>
      </c>
      <c r="J179" s="994"/>
      <c r="K179" s="197">
        <f t="shared" si="48"/>
        <v>1</v>
      </c>
      <c r="L179" s="994"/>
      <c r="M179" s="197">
        <f t="shared" si="49"/>
        <v>1</v>
      </c>
      <c r="N179" s="994"/>
      <c r="O179" s="197">
        <f t="shared" si="50"/>
        <v>1</v>
      </c>
      <c r="P179" s="994"/>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4"/>
      <c r="E180" s="197">
        <f t="shared" si="45"/>
        <v>0</v>
      </c>
      <c r="F180" s="994"/>
      <c r="G180" s="197">
        <f t="shared" si="46"/>
        <v>1</v>
      </c>
      <c r="H180" s="994"/>
      <c r="I180" s="197">
        <f t="shared" si="47"/>
        <v>1</v>
      </c>
      <c r="J180" s="994"/>
      <c r="K180" s="197">
        <f t="shared" si="48"/>
        <v>1</v>
      </c>
      <c r="L180" s="994"/>
      <c r="M180" s="197">
        <f t="shared" si="49"/>
        <v>1</v>
      </c>
      <c r="N180" s="994"/>
      <c r="O180" s="197">
        <f t="shared" si="50"/>
        <v>1</v>
      </c>
      <c r="P180" s="994"/>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4"/>
      <c r="E181" s="197">
        <f t="shared" si="45"/>
        <v>0</v>
      </c>
      <c r="F181" s="994"/>
      <c r="G181" s="197">
        <f t="shared" si="46"/>
        <v>1</v>
      </c>
      <c r="H181" s="994"/>
      <c r="I181" s="197">
        <f t="shared" si="47"/>
        <v>1</v>
      </c>
      <c r="J181" s="994"/>
      <c r="K181" s="197">
        <f t="shared" si="48"/>
        <v>1</v>
      </c>
      <c r="L181" s="994"/>
      <c r="M181" s="197">
        <f t="shared" si="49"/>
        <v>1</v>
      </c>
      <c r="N181" s="994"/>
      <c r="O181" s="197">
        <f t="shared" si="50"/>
        <v>1</v>
      </c>
      <c r="P181" s="994"/>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4"/>
      <c r="E182" s="197">
        <f t="shared" si="45"/>
        <v>0</v>
      </c>
      <c r="F182" s="994"/>
      <c r="G182" s="197">
        <f t="shared" si="46"/>
        <v>1</v>
      </c>
      <c r="H182" s="994"/>
      <c r="I182" s="197">
        <f t="shared" si="47"/>
        <v>1</v>
      </c>
      <c r="J182" s="994"/>
      <c r="K182" s="197">
        <f t="shared" si="48"/>
        <v>1</v>
      </c>
      <c r="L182" s="994"/>
      <c r="M182" s="197">
        <f t="shared" si="49"/>
        <v>1</v>
      </c>
      <c r="N182" s="994"/>
      <c r="O182" s="197">
        <f t="shared" si="50"/>
        <v>1</v>
      </c>
      <c r="P182" s="994"/>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4"/>
      <c r="E183" s="197">
        <f t="shared" si="45"/>
        <v>0</v>
      </c>
      <c r="F183" s="994"/>
      <c r="G183" s="197">
        <f t="shared" si="46"/>
        <v>1</v>
      </c>
      <c r="H183" s="994"/>
      <c r="I183" s="197">
        <f t="shared" si="47"/>
        <v>1</v>
      </c>
      <c r="J183" s="994"/>
      <c r="K183" s="197">
        <f t="shared" si="48"/>
        <v>1</v>
      </c>
      <c r="L183" s="994"/>
      <c r="M183" s="197">
        <f t="shared" si="49"/>
        <v>1</v>
      </c>
      <c r="N183" s="994"/>
      <c r="O183" s="197">
        <f t="shared" si="50"/>
        <v>1</v>
      </c>
      <c r="P183" s="994"/>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4"/>
      <c r="E184" s="197">
        <f t="shared" si="45"/>
        <v>0</v>
      </c>
      <c r="F184" s="994"/>
      <c r="G184" s="197">
        <f t="shared" si="46"/>
        <v>1</v>
      </c>
      <c r="H184" s="994"/>
      <c r="I184" s="197">
        <f t="shared" si="47"/>
        <v>1</v>
      </c>
      <c r="J184" s="994"/>
      <c r="K184" s="197">
        <f t="shared" si="48"/>
        <v>1</v>
      </c>
      <c r="L184" s="994"/>
      <c r="M184" s="197">
        <f t="shared" si="49"/>
        <v>1</v>
      </c>
      <c r="N184" s="994"/>
      <c r="O184" s="197">
        <f t="shared" si="50"/>
        <v>1</v>
      </c>
      <c r="P184" s="994"/>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4"/>
      <c r="E185" s="197">
        <f t="shared" si="45"/>
        <v>0</v>
      </c>
      <c r="F185" s="994"/>
      <c r="G185" s="197">
        <f t="shared" si="46"/>
        <v>1</v>
      </c>
      <c r="H185" s="994"/>
      <c r="I185" s="197">
        <f t="shared" si="47"/>
        <v>1</v>
      </c>
      <c r="J185" s="994"/>
      <c r="K185" s="197">
        <f t="shared" si="48"/>
        <v>1</v>
      </c>
      <c r="L185" s="994"/>
      <c r="M185" s="197">
        <f t="shared" si="49"/>
        <v>1</v>
      </c>
      <c r="N185" s="994"/>
      <c r="O185" s="197">
        <f t="shared" si="50"/>
        <v>1</v>
      </c>
      <c r="P185" s="994"/>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4"/>
      <c r="E186" s="197">
        <f t="shared" si="45"/>
        <v>0</v>
      </c>
      <c r="F186" s="994"/>
      <c r="G186" s="197">
        <f t="shared" si="46"/>
        <v>1</v>
      </c>
      <c r="H186" s="994"/>
      <c r="I186" s="197">
        <f t="shared" si="47"/>
        <v>1</v>
      </c>
      <c r="J186" s="994"/>
      <c r="K186" s="197">
        <f t="shared" si="48"/>
        <v>1</v>
      </c>
      <c r="L186" s="994"/>
      <c r="M186" s="197">
        <f t="shared" si="49"/>
        <v>1</v>
      </c>
      <c r="N186" s="994"/>
      <c r="O186" s="197">
        <f t="shared" si="50"/>
        <v>1</v>
      </c>
      <c r="P186" s="994"/>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4"/>
      <c r="E187" s="197">
        <f t="shared" si="45"/>
        <v>0</v>
      </c>
      <c r="F187" s="994"/>
      <c r="G187" s="197">
        <f t="shared" si="46"/>
        <v>1</v>
      </c>
      <c r="H187" s="994"/>
      <c r="I187" s="197">
        <f t="shared" si="47"/>
        <v>1</v>
      </c>
      <c r="J187" s="994"/>
      <c r="K187" s="197">
        <f t="shared" si="48"/>
        <v>1</v>
      </c>
      <c r="L187" s="994"/>
      <c r="M187" s="197">
        <f t="shared" si="49"/>
        <v>1</v>
      </c>
      <c r="N187" s="994"/>
      <c r="O187" s="197">
        <f t="shared" si="50"/>
        <v>1</v>
      </c>
      <c r="P187" s="994"/>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4"/>
      <c r="E188" s="197">
        <f t="shared" si="45"/>
        <v>0</v>
      </c>
      <c r="F188" s="994"/>
      <c r="G188" s="197">
        <f t="shared" si="46"/>
        <v>1</v>
      </c>
      <c r="H188" s="994"/>
      <c r="I188" s="197">
        <f t="shared" si="47"/>
        <v>1</v>
      </c>
      <c r="J188" s="994"/>
      <c r="K188" s="197">
        <f t="shared" si="48"/>
        <v>1</v>
      </c>
      <c r="L188" s="994"/>
      <c r="M188" s="197">
        <f t="shared" si="49"/>
        <v>1</v>
      </c>
      <c r="N188" s="994"/>
      <c r="O188" s="197">
        <f t="shared" si="50"/>
        <v>1</v>
      </c>
      <c r="P188" s="994"/>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4"/>
      <c r="E189" s="197">
        <f t="shared" si="45"/>
        <v>0</v>
      </c>
      <c r="F189" s="994"/>
      <c r="G189" s="197">
        <f t="shared" si="46"/>
        <v>1</v>
      </c>
      <c r="H189" s="994"/>
      <c r="I189" s="197">
        <f t="shared" si="47"/>
        <v>1</v>
      </c>
      <c r="J189" s="994"/>
      <c r="K189" s="197">
        <f t="shared" si="48"/>
        <v>1</v>
      </c>
      <c r="L189" s="994"/>
      <c r="M189" s="197">
        <f t="shared" si="49"/>
        <v>1</v>
      </c>
      <c r="N189" s="994"/>
      <c r="O189" s="197">
        <f t="shared" si="50"/>
        <v>1</v>
      </c>
      <c r="P189" s="994"/>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4"/>
      <c r="E190" s="197">
        <f t="shared" si="45"/>
        <v>0</v>
      </c>
      <c r="F190" s="994"/>
      <c r="G190" s="197">
        <f t="shared" si="46"/>
        <v>1</v>
      </c>
      <c r="H190" s="994"/>
      <c r="I190" s="197">
        <f t="shared" si="47"/>
        <v>1</v>
      </c>
      <c r="J190" s="994"/>
      <c r="K190" s="197">
        <f t="shared" si="48"/>
        <v>1</v>
      </c>
      <c r="L190" s="994"/>
      <c r="M190" s="197">
        <f t="shared" si="49"/>
        <v>1</v>
      </c>
      <c r="N190" s="994"/>
      <c r="O190" s="197">
        <f t="shared" si="50"/>
        <v>1</v>
      </c>
      <c r="P190" s="994"/>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4"/>
      <c r="E191" s="197">
        <f t="shared" si="45"/>
        <v>0</v>
      </c>
      <c r="F191" s="994"/>
      <c r="G191" s="197">
        <f t="shared" si="46"/>
        <v>1</v>
      </c>
      <c r="H191" s="994"/>
      <c r="I191" s="197">
        <f t="shared" si="47"/>
        <v>1</v>
      </c>
      <c r="J191" s="994"/>
      <c r="K191" s="197">
        <f t="shared" si="48"/>
        <v>1</v>
      </c>
      <c r="L191" s="994"/>
      <c r="M191" s="197">
        <f t="shared" si="49"/>
        <v>1</v>
      </c>
      <c r="N191" s="994"/>
      <c r="O191" s="197">
        <f t="shared" si="50"/>
        <v>1</v>
      </c>
      <c r="P191" s="994"/>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4"/>
      <c r="E192" s="197">
        <f t="shared" si="45"/>
        <v>0</v>
      </c>
      <c r="F192" s="994"/>
      <c r="G192" s="197">
        <f t="shared" si="46"/>
        <v>1</v>
      </c>
      <c r="H192" s="994"/>
      <c r="I192" s="197">
        <f t="shared" si="47"/>
        <v>1</v>
      </c>
      <c r="J192" s="994"/>
      <c r="K192" s="197">
        <f t="shared" si="48"/>
        <v>1</v>
      </c>
      <c r="L192" s="994"/>
      <c r="M192" s="197">
        <f t="shared" si="49"/>
        <v>1</v>
      </c>
      <c r="N192" s="994"/>
      <c r="O192" s="197">
        <f t="shared" si="50"/>
        <v>1</v>
      </c>
      <c r="P192" s="994"/>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4"/>
      <c r="E193" s="197">
        <f t="shared" si="45"/>
        <v>0</v>
      </c>
      <c r="F193" s="994"/>
      <c r="G193" s="197">
        <f t="shared" si="46"/>
        <v>1</v>
      </c>
      <c r="H193" s="994"/>
      <c r="I193" s="197">
        <f t="shared" si="47"/>
        <v>1</v>
      </c>
      <c r="J193" s="994"/>
      <c r="K193" s="197">
        <f t="shared" si="48"/>
        <v>1</v>
      </c>
      <c r="L193" s="994"/>
      <c r="M193" s="197">
        <f t="shared" si="49"/>
        <v>1</v>
      </c>
      <c r="N193" s="994"/>
      <c r="O193" s="197">
        <f t="shared" si="50"/>
        <v>1</v>
      </c>
      <c r="P193" s="994"/>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4"/>
      <c r="E194" s="197">
        <f t="shared" si="45"/>
        <v>0</v>
      </c>
      <c r="F194" s="994"/>
      <c r="G194" s="197">
        <f t="shared" si="46"/>
        <v>1</v>
      </c>
      <c r="H194" s="994"/>
      <c r="I194" s="197">
        <f t="shared" si="47"/>
        <v>1</v>
      </c>
      <c r="J194" s="994"/>
      <c r="K194" s="197">
        <f t="shared" si="48"/>
        <v>1</v>
      </c>
      <c r="L194" s="994"/>
      <c r="M194" s="197">
        <f t="shared" si="49"/>
        <v>1</v>
      </c>
      <c r="N194" s="994"/>
      <c r="O194" s="197">
        <f t="shared" si="50"/>
        <v>1</v>
      </c>
      <c r="P194" s="994"/>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4"/>
      <c r="E195" s="197">
        <f t="shared" si="45"/>
        <v>0</v>
      </c>
      <c r="F195" s="994"/>
      <c r="G195" s="197">
        <f t="shared" si="46"/>
        <v>1</v>
      </c>
      <c r="H195" s="994"/>
      <c r="I195" s="197">
        <f t="shared" si="47"/>
        <v>1</v>
      </c>
      <c r="J195" s="994"/>
      <c r="K195" s="197">
        <f t="shared" si="48"/>
        <v>1</v>
      </c>
      <c r="L195" s="994"/>
      <c r="M195" s="197">
        <f t="shared" si="49"/>
        <v>1</v>
      </c>
      <c r="N195" s="994"/>
      <c r="O195" s="197">
        <f t="shared" si="50"/>
        <v>1</v>
      </c>
      <c r="P195" s="994"/>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4"/>
      <c r="E196" s="197">
        <f t="shared" si="45"/>
        <v>0</v>
      </c>
      <c r="F196" s="994"/>
      <c r="G196" s="197">
        <f t="shared" si="46"/>
        <v>1</v>
      </c>
      <c r="H196" s="994"/>
      <c r="I196" s="197">
        <f t="shared" si="47"/>
        <v>1</v>
      </c>
      <c r="J196" s="994"/>
      <c r="K196" s="197">
        <f t="shared" si="48"/>
        <v>1</v>
      </c>
      <c r="L196" s="994"/>
      <c r="M196" s="197">
        <f t="shared" si="49"/>
        <v>1</v>
      </c>
      <c r="N196" s="994"/>
      <c r="O196" s="197">
        <f t="shared" si="50"/>
        <v>1</v>
      </c>
      <c r="P196" s="994"/>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4"/>
      <c r="E197" s="197">
        <f t="shared" si="45"/>
        <v>0</v>
      </c>
      <c r="F197" s="994"/>
      <c r="G197" s="197">
        <f t="shared" si="46"/>
        <v>1</v>
      </c>
      <c r="H197" s="994"/>
      <c r="I197" s="197">
        <f t="shared" si="47"/>
        <v>1</v>
      </c>
      <c r="J197" s="994"/>
      <c r="K197" s="197">
        <f t="shared" si="48"/>
        <v>1</v>
      </c>
      <c r="L197" s="994"/>
      <c r="M197" s="197">
        <f t="shared" si="49"/>
        <v>1</v>
      </c>
      <c r="N197" s="994"/>
      <c r="O197" s="197">
        <f t="shared" si="50"/>
        <v>1</v>
      </c>
      <c r="P197" s="994"/>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4"/>
      <c r="E198" s="197">
        <f t="shared" si="45"/>
        <v>0</v>
      </c>
      <c r="F198" s="994"/>
      <c r="G198" s="197">
        <f t="shared" si="46"/>
        <v>1</v>
      </c>
      <c r="H198" s="994"/>
      <c r="I198" s="197">
        <f t="shared" si="47"/>
        <v>1</v>
      </c>
      <c r="J198" s="994"/>
      <c r="K198" s="197">
        <f t="shared" si="48"/>
        <v>1</v>
      </c>
      <c r="L198" s="994"/>
      <c r="M198" s="197">
        <f t="shared" si="49"/>
        <v>1</v>
      </c>
      <c r="N198" s="994"/>
      <c r="O198" s="197">
        <f t="shared" si="50"/>
        <v>1</v>
      </c>
      <c r="P198" s="994"/>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4"/>
      <c r="E199" s="197">
        <f t="shared" si="45"/>
        <v>0</v>
      </c>
      <c r="F199" s="994"/>
      <c r="G199" s="197">
        <f t="shared" si="46"/>
        <v>1</v>
      </c>
      <c r="H199" s="994"/>
      <c r="I199" s="197">
        <f t="shared" si="47"/>
        <v>1</v>
      </c>
      <c r="J199" s="994"/>
      <c r="K199" s="197">
        <f t="shared" si="48"/>
        <v>1</v>
      </c>
      <c r="L199" s="994"/>
      <c r="M199" s="197">
        <f t="shared" si="49"/>
        <v>1</v>
      </c>
      <c r="N199" s="994"/>
      <c r="O199" s="197">
        <f t="shared" si="50"/>
        <v>1</v>
      </c>
      <c r="P199" s="994"/>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4"/>
      <c r="E200" s="197">
        <f t="shared" si="45"/>
        <v>0</v>
      </c>
      <c r="F200" s="994"/>
      <c r="G200" s="197">
        <f t="shared" si="46"/>
        <v>1</v>
      </c>
      <c r="H200" s="994"/>
      <c r="I200" s="197">
        <f t="shared" si="47"/>
        <v>1</v>
      </c>
      <c r="J200" s="994"/>
      <c r="K200" s="197">
        <f t="shared" si="48"/>
        <v>1</v>
      </c>
      <c r="L200" s="994"/>
      <c r="M200" s="197">
        <f t="shared" si="49"/>
        <v>1</v>
      </c>
      <c r="N200" s="994"/>
      <c r="O200" s="197">
        <f t="shared" si="50"/>
        <v>1</v>
      </c>
      <c r="P200" s="994"/>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4"/>
      <c r="E201" s="197">
        <f t="shared" si="45"/>
        <v>0</v>
      </c>
      <c r="F201" s="994"/>
      <c r="G201" s="197">
        <f t="shared" si="46"/>
        <v>1</v>
      </c>
      <c r="H201" s="994"/>
      <c r="I201" s="197">
        <f t="shared" si="47"/>
        <v>1</v>
      </c>
      <c r="J201" s="994"/>
      <c r="K201" s="197">
        <f t="shared" si="48"/>
        <v>1</v>
      </c>
      <c r="L201" s="994"/>
      <c r="M201" s="197">
        <f t="shared" si="49"/>
        <v>1</v>
      </c>
      <c r="N201" s="994"/>
      <c r="O201" s="197">
        <f t="shared" si="50"/>
        <v>1</v>
      </c>
      <c r="P201" s="994"/>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4"/>
      <c r="E202" s="197">
        <f t="shared" si="45"/>
        <v>0</v>
      </c>
      <c r="F202" s="994"/>
      <c r="G202" s="197">
        <f t="shared" si="46"/>
        <v>1</v>
      </c>
      <c r="H202" s="994"/>
      <c r="I202" s="197">
        <f t="shared" si="47"/>
        <v>1</v>
      </c>
      <c r="J202" s="994"/>
      <c r="K202" s="197">
        <f t="shared" si="48"/>
        <v>1</v>
      </c>
      <c r="L202" s="994"/>
      <c r="M202" s="197">
        <f t="shared" si="49"/>
        <v>1</v>
      </c>
      <c r="N202" s="994"/>
      <c r="O202" s="197">
        <f t="shared" si="50"/>
        <v>1</v>
      </c>
      <c r="P202" s="994"/>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4"/>
      <c r="E203" s="197">
        <f t="shared" si="45"/>
        <v>0</v>
      </c>
      <c r="F203" s="994"/>
      <c r="G203" s="197">
        <f t="shared" si="46"/>
        <v>1</v>
      </c>
      <c r="H203" s="994"/>
      <c r="I203" s="197">
        <f t="shared" si="47"/>
        <v>1</v>
      </c>
      <c r="J203" s="994"/>
      <c r="K203" s="197">
        <f t="shared" si="48"/>
        <v>1</v>
      </c>
      <c r="L203" s="994"/>
      <c r="M203" s="197">
        <f t="shared" si="49"/>
        <v>1</v>
      </c>
      <c r="N203" s="994"/>
      <c r="O203" s="197">
        <f t="shared" si="50"/>
        <v>1</v>
      </c>
      <c r="P203" s="994"/>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4"/>
      <c r="E204" s="197">
        <f t="shared" si="45"/>
        <v>0</v>
      </c>
      <c r="F204" s="994"/>
      <c r="G204" s="197">
        <f t="shared" si="46"/>
        <v>1</v>
      </c>
      <c r="H204" s="994"/>
      <c r="I204" s="197">
        <f t="shared" si="47"/>
        <v>1</v>
      </c>
      <c r="J204" s="994"/>
      <c r="K204" s="197">
        <f t="shared" si="48"/>
        <v>1</v>
      </c>
      <c r="L204" s="994"/>
      <c r="M204" s="197">
        <f t="shared" si="49"/>
        <v>1</v>
      </c>
      <c r="N204" s="994"/>
      <c r="O204" s="197">
        <f t="shared" si="50"/>
        <v>1</v>
      </c>
      <c r="P204" s="994"/>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4"/>
      <c r="E205" s="197">
        <f t="shared" si="45"/>
        <v>0</v>
      </c>
      <c r="F205" s="994"/>
      <c r="G205" s="197">
        <f t="shared" si="46"/>
        <v>1</v>
      </c>
      <c r="H205" s="994"/>
      <c r="I205" s="197">
        <f t="shared" si="47"/>
        <v>1</v>
      </c>
      <c r="J205" s="994"/>
      <c r="K205" s="197">
        <f t="shared" si="48"/>
        <v>1</v>
      </c>
      <c r="L205" s="994"/>
      <c r="M205" s="197">
        <f t="shared" si="49"/>
        <v>1</v>
      </c>
      <c r="N205" s="994"/>
      <c r="O205" s="197">
        <f t="shared" si="50"/>
        <v>1</v>
      </c>
      <c r="P205" s="994"/>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4"/>
      <c r="E206" s="197">
        <f t="shared" si="45"/>
        <v>0</v>
      </c>
      <c r="F206" s="994"/>
      <c r="G206" s="197">
        <f t="shared" si="46"/>
        <v>1</v>
      </c>
      <c r="H206" s="994"/>
      <c r="I206" s="197">
        <f t="shared" si="47"/>
        <v>1</v>
      </c>
      <c r="J206" s="994"/>
      <c r="K206" s="197">
        <f t="shared" si="48"/>
        <v>1</v>
      </c>
      <c r="L206" s="994"/>
      <c r="M206" s="197">
        <f t="shared" si="49"/>
        <v>1</v>
      </c>
      <c r="N206" s="994"/>
      <c r="O206" s="197">
        <f t="shared" si="50"/>
        <v>1</v>
      </c>
      <c r="P206" s="994"/>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4"/>
      <c r="E207" s="197">
        <f t="shared" si="45"/>
        <v>0</v>
      </c>
      <c r="F207" s="994"/>
      <c r="G207" s="197">
        <f t="shared" si="46"/>
        <v>1</v>
      </c>
      <c r="H207" s="994"/>
      <c r="I207" s="197">
        <f t="shared" si="47"/>
        <v>1</v>
      </c>
      <c r="J207" s="994"/>
      <c r="K207" s="197">
        <f t="shared" si="48"/>
        <v>1</v>
      </c>
      <c r="L207" s="994"/>
      <c r="M207" s="197">
        <f t="shared" si="49"/>
        <v>1</v>
      </c>
      <c r="N207" s="994"/>
      <c r="O207" s="197">
        <f t="shared" si="50"/>
        <v>1</v>
      </c>
      <c r="P207" s="994"/>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4"/>
      <c r="E208" s="197">
        <f t="shared" si="45"/>
        <v>0</v>
      </c>
      <c r="F208" s="994"/>
      <c r="G208" s="197">
        <f t="shared" si="46"/>
        <v>1</v>
      </c>
      <c r="H208" s="994"/>
      <c r="I208" s="197">
        <f t="shared" si="47"/>
        <v>1</v>
      </c>
      <c r="J208" s="994"/>
      <c r="K208" s="197">
        <f t="shared" si="48"/>
        <v>1</v>
      </c>
      <c r="L208" s="994"/>
      <c r="M208" s="197">
        <f t="shared" si="49"/>
        <v>1</v>
      </c>
      <c r="N208" s="994"/>
      <c r="O208" s="197">
        <f t="shared" si="50"/>
        <v>1</v>
      </c>
      <c r="P208" s="994"/>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4"/>
      <c r="E209" s="197">
        <f t="shared" si="45"/>
        <v>0</v>
      </c>
      <c r="F209" s="994"/>
      <c r="G209" s="197">
        <f t="shared" si="46"/>
        <v>1</v>
      </c>
      <c r="H209" s="994"/>
      <c r="I209" s="197">
        <f t="shared" si="47"/>
        <v>1</v>
      </c>
      <c r="J209" s="994"/>
      <c r="K209" s="197">
        <f t="shared" si="48"/>
        <v>1</v>
      </c>
      <c r="L209" s="994"/>
      <c r="M209" s="197">
        <f t="shared" si="49"/>
        <v>1</v>
      </c>
      <c r="N209" s="994"/>
      <c r="O209" s="197">
        <f t="shared" si="50"/>
        <v>1</v>
      </c>
      <c r="P209" s="994"/>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4"/>
      <c r="E210" s="197">
        <f t="shared" si="45"/>
        <v>0</v>
      </c>
      <c r="F210" s="994"/>
      <c r="G210" s="197">
        <f t="shared" si="46"/>
        <v>1</v>
      </c>
      <c r="H210" s="994"/>
      <c r="I210" s="197">
        <f t="shared" si="47"/>
        <v>1</v>
      </c>
      <c r="J210" s="994"/>
      <c r="K210" s="197">
        <f t="shared" si="48"/>
        <v>1</v>
      </c>
      <c r="L210" s="994"/>
      <c r="M210" s="197">
        <f t="shared" si="49"/>
        <v>1</v>
      </c>
      <c r="N210" s="994"/>
      <c r="O210" s="197">
        <f t="shared" si="50"/>
        <v>1</v>
      </c>
      <c r="P210" s="994"/>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4"/>
      <c r="E211" s="197">
        <f t="shared" si="45"/>
        <v>0</v>
      </c>
      <c r="F211" s="994"/>
      <c r="G211" s="197">
        <f t="shared" si="46"/>
        <v>1</v>
      </c>
      <c r="H211" s="994"/>
      <c r="I211" s="197">
        <f t="shared" si="47"/>
        <v>1</v>
      </c>
      <c r="J211" s="994"/>
      <c r="K211" s="197">
        <f t="shared" si="48"/>
        <v>1</v>
      </c>
      <c r="L211" s="994"/>
      <c r="M211" s="197">
        <f t="shared" si="49"/>
        <v>1</v>
      </c>
      <c r="N211" s="994"/>
      <c r="O211" s="197">
        <f t="shared" si="50"/>
        <v>1</v>
      </c>
      <c r="P211" s="994"/>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4"/>
      <c r="E212" s="197">
        <f t="shared" si="45"/>
        <v>0</v>
      </c>
      <c r="F212" s="994"/>
      <c r="G212" s="197">
        <f t="shared" si="46"/>
        <v>1</v>
      </c>
      <c r="H212" s="994"/>
      <c r="I212" s="197">
        <f t="shared" si="47"/>
        <v>1</v>
      </c>
      <c r="J212" s="994"/>
      <c r="K212" s="197">
        <f t="shared" si="48"/>
        <v>1</v>
      </c>
      <c r="L212" s="994"/>
      <c r="M212" s="197">
        <f t="shared" si="49"/>
        <v>1</v>
      </c>
      <c r="N212" s="994"/>
      <c r="O212" s="197">
        <f t="shared" si="50"/>
        <v>1</v>
      </c>
      <c r="P212" s="994"/>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4"/>
      <c r="E213" s="197">
        <f t="shared" si="45"/>
        <v>0</v>
      </c>
      <c r="F213" s="994"/>
      <c r="G213" s="197">
        <f t="shared" si="46"/>
        <v>1</v>
      </c>
      <c r="H213" s="994"/>
      <c r="I213" s="197">
        <f t="shared" si="47"/>
        <v>1</v>
      </c>
      <c r="J213" s="994"/>
      <c r="K213" s="197">
        <f t="shared" si="48"/>
        <v>1</v>
      </c>
      <c r="L213" s="994"/>
      <c r="M213" s="197">
        <f t="shared" si="49"/>
        <v>1</v>
      </c>
      <c r="N213" s="994"/>
      <c r="O213" s="197">
        <f t="shared" si="50"/>
        <v>1</v>
      </c>
      <c r="P213" s="994"/>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4"/>
      <c r="E214" s="197">
        <f t="shared" si="45"/>
        <v>0</v>
      </c>
      <c r="F214" s="994"/>
      <c r="G214" s="197">
        <f t="shared" si="46"/>
        <v>1</v>
      </c>
      <c r="H214" s="994"/>
      <c r="I214" s="197">
        <f t="shared" si="47"/>
        <v>1</v>
      </c>
      <c r="J214" s="994"/>
      <c r="K214" s="197">
        <f t="shared" si="48"/>
        <v>1</v>
      </c>
      <c r="L214" s="994"/>
      <c r="M214" s="197">
        <f t="shared" si="49"/>
        <v>1</v>
      </c>
      <c r="N214" s="994"/>
      <c r="O214" s="197">
        <f t="shared" si="50"/>
        <v>1</v>
      </c>
      <c r="P214" s="994"/>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4"/>
      <c r="E215" s="197">
        <f t="shared" si="45"/>
        <v>0</v>
      </c>
      <c r="F215" s="994"/>
      <c r="G215" s="197">
        <f t="shared" si="46"/>
        <v>1</v>
      </c>
      <c r="H215" s="994"/>
      <c r="I215" s="197">
        <f t="shared" si="47"/>
        <v>1</v>
      </c>
      <c r="J215" s="994"/>
      <c r="K215" s="197">
        <f t="shared" si="48"/>
        <v>1</v>
      </c>
      <c r="L215" s="994"/>
      <c r="M215" s="197">
        <f t="shared" si="49"/>
        <v>1</v>
      </c>
      <c r="N215" s="994"/>
      <c r="O215" s="197">
        <f t="shared" si="50"/>
        <v>1</v>
      </c>
      <c r="P215" s="994"/>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4"/>
      <c r="E216" s="197">
        <f t="shared" si="45"/>
        <v>0</v>
      </c>
      <c r="F216" s="994"/>
      <c r="G216" s="197">
        <f t="shared" si="46"/>
        <v>1</v>
      </c>
      <c r="H216" s="994"/>
      <c r="I216" s="197">
        <f t="shared" si="47"/>
        <v>1</v>
      </c>
      <c r="J216" s="994"/>
      <c r="K216" s="197">
        <f t="shared" si="48"/>
        <v>1</v>
      </c>
      <c r="L216" s="994"/>
      <c r="M216" s="197">
        <f t="shared" si="49"/>
        <v>1</v>
      </c>
      <c r="N216" s="994"/>
      <c r="O216" s="197">
        <f t="shared" si="50"/>
        <v>1</v>
      </c>
      <c r="P216" s="994"/>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4"/>
      <c r="E217" s="197">
        <f t="shared" si="45"/>
        <v>0</v>
      </c>
      <c r="F217" s="994"/>
      <c r="G217" s="197">
        <f t="shared" si="46"/>
        <v>1</v>
      </c>
      <c r="H217" s="994"/>
      <c r="I217" s="197">
        <f t="shared" si="47"/>
        <v>1</v>
      </c>
      <c r="J217" s="994"/>
      <c r="K217" s="197">
        <f t="shared" si="48"/>
        <v>1</v>
      </c>
      <c r="L217" s="994"/>
      <c r="M217" s="197">
        <f t="shared" si="49"/>
        <v>1</v>
      </c>
      <c r="N217" s="994"/>
      <c r="O217" s="197">
        <f t="shared" si="50"/>
        <v>1</v>
      </c>
      <c r="P217" s="994"/>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4"/>
      <c r="E218" s="197">
        <f t="shared" si="45"/>
        <v>0</v>
      </c>
      <c r="F218" s="994"/>
      <c r="G218" s="197">
        <f t="shared" si="46"/>
        <v>1</v>
      </c>
      <c r="H218" s="994"/>
      <c r="I218" s="197">
        <f t="shared" si="47"/>
        <v>1</v>
      </c>
      <c r="J218" s="994"/>
      <c r="K218" s="197">
        <f t="shared" si="48"/>
        <v>1</v>
      </c>
      <c r="L218" s="994"/>
      <c r="M218" s="197">
        <f t="shared" si="49"/>
        <v>1</v>
      </c>
      <c r="N218" s="994"/>
      <c r="O218" s="197">
        <f t="shared" si="50"/>
        <v>1</v>
      </c>
      <c r="P218" s="994"/>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4"/>
      <c r="E219" s="197">
        <f t="shared" si="45"/>
        <v>0</v>
      </c>
      <c r="F219" s="994"/>
      <c r="G219" s="197">
        <f t="shared" si="46"/>
        <v>1</v>
      </c>
      <c r="H219" s="994"/>
      <c r="I219" s="197">
        <f t="shared" si="47"/>
        <v>1</v>
      </c>
      <c r="J219" s="994"/>
      <c r="K219" s="197">
        <f t="shared" si="48"/>
        <v>1</v>
      </c>
      <c r="L219" s="994"/>
      <c r="M219" s="197">
        <f t="shared" si="49"/>
        <v>1</v>
      </c>
      <c r="N219" s="994"/>
      <c r="O219" s="197">
        <f t="shared" si="50"/>
        <v>1</v>
      </c>
      <c r="P219" s="994"/>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4"/>
      <c r="E220" s="197">
        <f t="shared" ref="E220:E283" si="60">(SUMIF($8:$8,D220,$9:$9)-SUMIF($8:$8,$D$27,$9:$9)+100)/100</f>
        <v>0</v>
      </c>
      <c r="F220" s="994"/>
      <c r="G220" s="197">
        <f t="shared" ref="G220:G283" si="61">(SUMIF($10:$10,F220,$11:$11)-SUMIF($10:$10,$F$27,$11:$11)+100)/100</f>
        <v>1</v>
      </c>
      <c r="H220" s="994"/>
      <c r="I220" s="197">
        <f t="shared" ref="I220:I283" si="62">(SUMIF($12:$12,H220,$13:$13)-SUMIF($12:$12,$H$27,$13:$13)+100)/100</f>
        <v>1</v>
      </c>
      <c r="J220" s="994"/>
      <c r="K220" s="197">
        <f t="shared" ref="K220:K283" si="63">(SUMIF($14:$14,J220,$15:$15)-SUMIF($14:$14,$J$27,$15:$15)+100)/100</f>
        <v>1</v>
      </c>
      <c r="L220" s="994"/>
      <c r="M220" s="197">
        <f t="shared" ref="M220:M283" si="64">(SUMIF($16:$16,L220,$17:$17)-SUMIF($16:$16,$L$27,$17:$17)+100)/100</f>
        <v>1</v>
      </c>
      <c r="N220" s="994"/>
      <c r="O220" s="197">
        <f t="shared" ref="O220:O283" si="65">(SUMIF($18:$18,N220,$19:$19)-SUMIF($18:$18,$N$27,$19:$19)+100)/100</f>
        <v>1</v>
      </c>
      <c r="P220" s="994"/>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4"/>
      <c r="E221" s="197">
        <f t="shared" si="60"/>
        <v>0</v>
      </c>
      <c r="F221" s="994"/>
      <c r="G221" s="197">
        <f t="shared" si="61"/>
        <v>1</v>
      </c>
      <c r="H221" s="994"/>
      <c r="I221" s="197">
        <f t="shared" si="62"/>
        <v>1</v>
      </c>
      <c r="J221" s="994"/>
      <c r="K221" s="197">
        <f t="shared" si="63"/>
        <v>1</v>
      </c>
      <c r="L221" s="994"/>
      <c r="M221" s="197">
        <f t="shared" si="64"/>
        <v>1</v>
      </c>
      <c r="N221" s="994"/>
      <c r="O221" s="197">
        <f t="shared" si="65"/>
        <v>1</v>
      </c>
      <c r="P221" s="994"/>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4"/>
      <c r="E222" s="197">
        <f t="shared" si="60"/>
        <v>0</v>
      </c>
      <c r="F222" s="994"/>
      <c r="G222" s="197">
        <f t="shared" si="61"/>
        <v>1</v>
      </c>
      <c r="H222" s="994"/>
      <c r="I222" s="197">
        <f t="shared" si="62"/>
        <v>1</v>
      </c>
      <c r="J222" s="994"/>
      <c r="K222" s="197">
        <f t="shared" si="63"/>
        <v>1</v>
      </c>
      <c r="L222" s="994"/>
      <c r="M222" s="197">
        <f t="shared" si="64"/>
        <v>1</v>
      </c>
      <c r="N222" s="994"/>
      <c r="O222" s="197">
        <f t="shared" si="65"/>
        <v>1</v>
      </c>
      <c r="P222" s="994"/>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4"/>
      <c r="E223" s="197">
        <f t="shared" si="60"/>
        <v>0</v>
      </c>
      <c r="F223" s="994"/>
      <c r="G223" s="197">
        <f t="shared" si="61"/>
        <v>1</v>
      </c>
      <c r="H223" s="994"/>
      <c r="I223" s="197">
        <f t="shared" si="62"/>
        <v>1</v>
      </c>
      <c r="J223" s="994"/>
      <c r="K223" s="197">
        <f t="shared" si="63"/>
        <v>1</v>
      </c>
      <c r="L223" s="994"/>
      <c r="M223" s="197">
        <f t="shared" si="64"/>
        <v>1</v>
      </c>
      <c r="N223" s="994"/>
      <c r="O223" s="197">
        <f t="shared" si="65"/>
        <v>1</v>
      </c>
      <c r="P223" s="994"/>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4"/>
      <c r="E224" s="197">
        <f t="shared" si="60"/>
        <v>0</v>
      </c>
      <c r="F224" s="994"/>
      <c r="G224" s="197">
        <f t="shared" si="61"/>
        <v>1</v>
      </c>
      <c r="H224" s="994"/>
      <c r="I224" s="197">
        <f t="shared" si="62"/>
        <v>1</v>
      </c>
      <c r="J224" s="994"/>
      <c r="K224" s="197">
        <f t="shared" si="63"/>
        <v>1</v>
      </c>
      <c r="L224" s="994"/>
      <c r="M224" s="197">
        <f t="shared" si="64"/>
        <v>1</v>
      </c>
      <c r="N224" s="994"/>
      <c r="O224" s="197">
        <f t="shared" si="65"/>
        <v>1</v>
      </c>
      <c r="P224" s="994"/>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4"/>
      <c r="E225" s="197">
        <f t="shared" si="60"/>
        <v>0</v>
      </c>
      <c r="F225" s="994"/>
      <c r="G225" s="197">
        <f t="shared" si="61"/>
        <v>1</v>
      </c>
      <c r="H225" s="994"/>
      <c r="I225" s="197">
        <f t="shared" si="62"/>
        <v>1</v>
      </c>
      <c r="J225" s="994"/>
      <c r="K225" s="197">
        <f t="shared" si="63"/>
        <v>1</v>
      </c>
      <c r="L225" s="994"/>
      <c r="M225" s="197">
        <f t="shared" si="64"/>
        <v>1</v>
      </c>
      <c r="N225" s="994"/>
      <c r="O225" s="197">
        <f t="shared" si="65"/>
        <v>1</v>
      </c>
      <c r="P225" s="994"/>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4"/>
      <c r="E226" s="197">
        <f t="shared" si="60"/>
        <v>0</v>
      </c>
      <c r="F226" s="994"/>
      <c r="G226" s="197">
        <f t="shared" si="61"/>
        <v>1</v>
      </c>
      <c r="H226" s="994"/>
      <c r="I226" s="197">
        <f t="shared" si="62"/>
        <v>1</v>
      </c>
      <c r="J226" s="994"/>
      <c r="K226" s="197">
        <f t="shared" si="63"/>
        <v>1</v>
      </c>
      <c r="L226" s="994"/>
      <c r="M226" s="197">
        <f t="shared" si="64"/>
        <v>1</v>
      </c>
      <c r="N226" s="994"/>
      <c r="O226" s="197">
        <f t="shared" si="65"/>
        <v>1</v>
      </c>
      <c r="P226" s="994"/>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4"/>
      <c r="E227" s="197">
        <f t="shared" si="60"/>
        <v>0</v>
      </c>
      <c r="F227" s="994"/>
      <c r="G227" s="197">
        <f t="shared" si="61"/>
        <v>1</v>
      </c>
      <c r="H227" s="994"/>
      <c r="I227" s="197">
        <f t="shared" si="62"/>
        <v>1</v>
      </c>
      <c r="J227" s="994"/>
      <c r="K227" s="197">
        <f t="shared" si="63"/>
        <v>1</v>
      </c>
      <c r="L227" s="994"/>
      <c r="M227" s="197">
        <f t="shared" si="64"/>
        <v>1</v>
      </c>
      <c r="N227" s="994"/>
      <c r="O227" s="197">
        <f t="shared" si="65"/>
        <v>1</v>
      </c>
      <c r="P227" s="994"/>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4"/>
      <c r="E228" s="197">
        <f t="shared" si="60"/>
        <v>0</v>
      </c>
      <c r="F228" s="994"/>
      <c r="G228" s="197">
        <f t="shared" si="61"/>
        <v>1</v>
      </c>
      <c r="H228" s="994"/>
      <c r="I228" s="197">
        <f t="shared" si="62"/>
        <v>1</v>
      </c>
      <c r="J228" s="994"/>
      <c r="K228" s="197">
        <f t="shared" si="63"/>
        <v>1</v>
      </c>
      <c r="L228" s="994"/>
      <c r="M228" s="197">
        <f t="shared" si="64"/>
        <v>1</v>
      </c>
      <c r="N228" s="994"/>
      <c r="O228" s="197">
        <f t="shared" si="65"/>
        <v>1</v>
      </c>
      <c r="P228" s="994"/>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4"/>
      <c r="E229" s="197">
        <f t="shared" si="60"/>
        <v>0</v>
      </c>
      <c r="F229" s="994"/>
      <c r="G229" s="197">
        <f t="shared" si="61"/>
        <v>1</v>
      </c>
      <c r="H229" s="994"/>
      <c r="I229" s="197">
        <f t="shared" si="62"/>
        <v>1</v>
      </c>
      <c r="J229" s="994"/>
      <c r="K229" s="197">
        <f t="shared" si="63"/>
        <v>1</v>
      </c>
      <c r="L229" s="994"/>
      <c r="M229" s="197">
        <f t="shared" si="64"/>
        <v>1</v>
      </c>
      <c r="N229" s="994"/>
      <c r="O229" s="197">
        <f t="shared" si="65"/>
        <v>1</v>
      </c>
      <c r="P229" s="994"/>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4"/>
      <c r="E230" s="197">
        <f t="shared" si="60"/>
        <v>0</v>
      </c>
      <c r="F230" s="994"/>
      <c r="G230" s="197">
        <f t="shared" si="61"/>
        <v>1</v>
      </c>
      <c r="H230" s="994"/>
      <c r="I230" s="197">
        <f t="shared" si="62"/>
        <v>1</v>
      </c>
      <c r="J230" s="994"/>
      <c r="K230" s="197">
        <f t="shared" si="63"/>
        <v>1</v>
      </c>
      <c r="L230" s="994"/>
      <c r="M230" s="197">
        <f t="shared" si="64"/>
        <v>1</v>
      </c>
      <c r="N230" s="994"/>
      <c r="O230" s="197">
        <f t="shared" si="65"/>
        <v>1</v>
      </c>
      <c r="P230" s="994"/>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4"/>
      <c r="E231" s="197">
        <f t="shared" si="60"/>
        <v>0</v>
      </c>
      <c r="F231" s="994"/>
      <c r="G231" s="197">
        <f t="shared" si="61"/>
        <v>1</v>
      </c>
      <c r="H231" s="994"/>
      <c r="I231" s="197">
        <f t="shared" si="62"/>
        <v>1</v>
      </c>
      <c r="J231" s="994"/>
      <c r="K231" s="197">
        <f t="shared" si="63"/>
        <v>1</v>
      </c>
      <c r="L231" s="994"/>
      <c r="M231" s="197">
        <f t="shared" si="64"/>
        <v>1</v>
      </c>
      <c r="N231" s="994"/>
      <c r="O231" s="197">
        <f t="shared" si="65"/>
        <v>1</v>
      </c>
      <c r="P231" s="994"/>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4"/>
      <c r="E232" s="197">
        <f t="shared" si="60"/>
        <v>0</v>
      </c>
      <c r="F232" s="994"/>
      <c r="G232" s="197">
        <f t="shared" si="61"/>
        <v>1</v>
      </c>
      <c r="H232" s="994"/>
      <c r="I232" s="197">
        <f t="shared" si="62"/>
        <v>1</v>
      </c>
      <c r="J232" s="994"/>
      <c r="K232" s="197">
        <f t="shared" si="63"/>
        <v>1</v>
      </c>
      <c r="L232" s="994"/>
      <c r="M232" s="197">
        <f t="shared" si="64"/>
        <v>1</v>
      </c>
      <c r="N232" s="994"/>
      <c r="O232" s="197">
        <f t="shared" si="65"/>
        <v>1</v>
      </c>
      <c r="P232" s="994"/>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4"/>
      <c r="E233" s="197">
        <f t="shared" si="60"/>
        <v>0</v>
      </c>
      <c r="F233" s="994"/>
      <c r="G233" s="197">
        <f t="shared" si="61"/>
        <v>1</v>
      </c>
      <c r="H233" s="994"/>
      <c r="I233" s="197">
        <f t="shared" si="62"/>
        <v>1</v>
      </c>
      <c r="J233" s="994"/>
      <c r="K233" s="197">
        <f t="shared" si="63"/>
        <v>1</v>
      </c>
      <c r="L233" s="994"/>
      <c r="M233" s="197">
        <f t="shared" si="64"/>
        <v>1</v>
      </c>
      <c r="N233" s="994"/>
      <c r="O233" s="197">
        <f t="shared" si="65"/>
        <v>1</v>
      </c>
      <c r="P233" s="994"/>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4"/>
      <c r="E234" s="197">
        <f t="shared" si="60"/>
        <v>0</v>
      </c>
      <c r="F234" s="994"/>
      <c r="G234" s="197">
        <f t="shared" si="61"/>
        <v>1</v>
      </c>
      <c r="H234" s="994"/>
      <c r="I234" s="197">
        <f t="shared" si="62"/>
        <v>1</v>
      </c>
      <c r="J234" s="994"/>
      <c r="K234" s="197">
        <f t="shared" si="63"/>
        <v>1</v>
      </c>
      <c r="L234" s="994"/>
      <c r="M234" s="197">
        <f t="shared" si="64"/>
        <v>1</v>
      </c>
      <c r="N234" s="994"/>
      <c r="O234" s="197">
        <f t="shared" si="65"/>
        <v>1</v>
      </c>
      <c r="P234" s="994"/>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4"/>
      <c r="E235" s="197">
        <f t="shared" si="60"/>
        <v>0</v>
      </c>
      <c r="F235" s="994"/>
      <c r="G235" s="197">
        <f t="shared" si="61"/>
        <v>1</v>
      </c>
      <c r="H235" s="994"/>
      <c r="I235" s="197">
        <f t="shared" si="62"/>
        <v>1</v>
      </c>
      <c r="J235" s="994"/>
      <c r="K235" s="197">
        <f t="shared" si="63"/>
        <v>1</v>
      </c>
      <c r="L235" s="994"/>
      <c r="M235" s="197">
        <f t="shared" si="64"/>
        <v>1</v>
      </c>
      <c r="N235" s="994"/>
      <c r="O235" s="197">
        <f t="shared" si="65"/>
        <v>1</v>
      </c>
      <c r="P235" s="994"/>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4"/>
      <c r="E236" s="197">
        <f t="shared" si="60"/>
        <v>0</v>
      </c>
      <c r="F236" s="994"/>
      <c r="G236" s="197">
        <f t="shared" si="61"/>
        <v>1</v>
      </c>
      <c r="H236" s="994"/>
      <c r="I236" s="197">
        <f t="shared" si="62"/>
        <v>1</v>
      </c>
      <c r="J236" s="994"/>
      <c r="K236" s="197">
        <f t="shared" si="63"/>
        <v>1</v>
      </c>
      <c r="L236" s="994"/>
      <c r="M236" s="197">
        <f t="shared" si="64"/>
        <v>1</v>
      </c>
      <c r="N236" s="994"/>
      <c r="O236" s="197">
        <f t="shared" si="65"/>
        <v>1</v>
      </c>
      <c r="P236" s="994"/>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4"/>
      <c r="E237" s="197">
        <f t="shared" si="60"/>
        <v>0</v>
      </c>
      <c r="F237" s="994"/>
      <c r="G237" s="197">
        <f t="shared" si="61"/>
        <v>1</v>
      </c>
      <c r="H237" s="994"/>
      <c r="I237" s="197">
        <f t="shared" si="62"/>
        <v>1</v>
      </c>
      <c r="J237" s="994"/>
      <c r="K237" s="197">
        <f t="shared" si="63"/>
        <v>1</v>
      </c>
      <c r="L237" s="994"/>
      <c r="M237" s="197">
        <f t="shared" si="64"/>
        <v>1</v>
      </c>
      <c r="N237" s="994"/>
      <c r="O237" s="197">
        <f t="shared" si="65"/>
        <v>1</v>
      </c>
      <c r="P237" s="994"/>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4"/>
      <c r="E238" s="197">
        <f t="shared" si="60"/>
        <v>0</v>
      </c>
      <c r="F238" s="994"/>
      <c r="G238" s="197">
        <f t="shared" si="61"/>
        <v>1</v>
      </c>
      <c r="H238" s="994"/>
      <c r="I238" s="197">
        <f t="shared" si="62"/>
        <v>1</v>
      </c>
      <c r="J238" s="994"/>
      <c r="K238" s="197">
        <f t="shared" si="63"/>
        <v>1</v>
      </c>
      <c r="L238" s="994"/>
      <c r="M238" s="197">
        <f t="shared" si="64"/>
        <v>1</v>
      </c>
      <c r="N238" s="994"/>
      <c r="O238" s="197">
        <f t="shared" si="65"/>
        <v>1</v>
      </c>
      <c r="P238" s="994"/>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4"/>
      <c r="E239" s="197">
        <f t="shared" si="60"/>
        <v>0</v>
      </c>
      <c r="F239" s="994"/>
      <c r="G239" s="197">
        <f t="shared" si="61"/>
        <v>1</v>
      </c>
      <c r="H239" s="994"/>
      <c r="I239" s="197">
        <f t="shared" si="62"/>
        <v>1</v>
      </c>
      <c r="J239" s="994"/>
      <c r="K239" s="197">
        <f t="shared" si="63"/>
        <v>1</v>
      </c>
      <c r="L239" s="994"/>
      <c r="M239" s="197">
        <f t="shared" si="64"/>
        <v>1</v>
      </c>
      <c r="N239" s="994"/>
      <c r="O239" s="197">
        <f t="shared" si="65"/>
        <v>1</v>
      </c>
      <c r="P239" s="994"/>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4"/>
      <c r="E240" s="197">
        <f t="shared" si="60"/>
        <v>0</v>
      </c>
      <c r="F240" s="994"/>
      <c r="G240" s="197">
        <f t="shared" si="61"/>
        <v>1</v>
      </c>
      <c r="H240" s="994"/>
      <c r="I240" s="197">
        <f t="shared" si="62"/>
        <v>1</v>
      </c>
      <c r="J240" s="994"/>
      <c r="K240" s="197">
        <f t="shared" si="63"/>
        <v>1</v>
      </c>
      <c r="L240" s="994"/>
      <c r="M240" s="197">
        <f t="shared" si="64"/>
        <v>1</v>
      </c>
      <c r="N240" s="994"/>
      <c r="O240" s="197">
        <f t="shared" si="65"/>
        <v>1</v>
      </c>
      <c r="P240" s="994"/>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4"/>
      <c r="E241" s="197">
        <f t="shared" si="60"/>
        <v>0</v>
      </c>
      <c r="F241" s="994"/>
      <c r="G241" s="197">
        <f t="shared" si="61"/>
        <v>1</v>
      </c>
      <c r="H241" s="994"/>
      <c r="I241" s="197">
        <f t="shared" si="62"/>
        <v>1</v>
      </c>
      <c r="J241" s="994"/>
      <c r="K241" s="197">
        <f t="shared" si="63"/>
        <v>1</v>
      </c>
      <c r="L241" s="994"/>
      <c r="M241" s="197">
        <f t="shared" si="64"/>
        <v>1</v>
      </c>
      <c r="N241" s="994"/>
      <c r="O241" s="197">
        <f t="shared" si="65"/>
        <v>1</v>
      </c>
      <c r="P241" s="994"/>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4"/>
      <c r="E242" s="197">
        <f t="shared" si="60"/>
        <v>0</v>
      </c>
      <c r="F242" s="994"/>
      <c r="G242" s="197">
        <f t="shared" si="61"/>
        <v>1</v>
      </c>
      <c r="H242" s="994"/>
      <c r="I242" s="197">
        <f t="shared" si="62"/>
        <v>1</v>
      </c>
      <c r="J242" s="994"/>
      <c r="K242" s="197">
        <f t="shared" si="63"/>
        <v>1</v>
      </c>
      <c r="L242" s="994"/>
      <c r="M242" s="197">
        <f t="shared" si="64"/>
        <v>1</v>
      </c>
      <c r="N242" s="994"/>
      <c r="O242" s="197">
        <f t="shared" si="65"/>
        <v>1</v>
      </c>
      <c r="P242" s="994"/>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4"/>
      <c r="E243" s="197">
        <f t="shared" si="60"/>
        <v>0</v>
      </c>
      <c r="F243" s="994"/>
      <c r="G243" s="197">
        <f t="shared" si="61"/>
        <v>1</v>
      </c>
      <c r="H243" s="994"/>
      <c r="I243" s="197">
        <f t="shared" si="62"/>
        <v>1</v>
      </c>
      <c r="J243" s="994"/>
      <c r="K243" s="197">
        <f t="shared" si="63"/>
        <v>1</v>
      </c>
      <c r="L243" s="994"/>
      <c r="M243" s="197">
        <f t="shared" si="64"/>
        <v>1</v>
      </c>
      <c r="N243" s="994"/>
      <c r="O243" s="197">
        <f t="shared" si="65"/>
        <v>1</v>
      </c>
      <c r="P243" s="994"/>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4"/>
      <c r="E244" s="197">
        <f t="shared" si="60"/>
        <v>0</v>
      </c>
      <c r="F244" s="994"/>
      <c r="G244" s="197">
        <f t="shared" si="61"/>
        <v>1</v>
      </c>
      <c r="H244" s="994"/>
      <c r="I244" s="197">
        <f t="shared" si="62"/>
        <v>1</v>
      </c>
      <c r="J244" s="994"/>
      <c r="K244" s="197">
        <f t="shared" si="63"/>
        <v>1</v>
      </c>
      <c r="L244" s="994"/>
      <c r="M244" s="197">
        <f t="shared" si="64"/>
        <v>1</v>
      </c>
      <c r="N244" s="994"/>
      <c r="O244" s="197">
        <f t="shared" si="65"/>
        <v>1</v>
      </c>
      <c r="P244" s="994"/>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4"/>
      <c r="E245" s="197">
        <f t="shared" si="60"/>
        <v>0</v>
      </c>
      <c r="F245" s="994"/>
      <c r="G245" s="197">
        <f t="shared" si="61"/>
        <v>1</v>
      </c>
      <c r="H245" s="994"/>
      <c r="I245" s="197">
        <f t="shared" si="62"/>
        <v>1</v>
      </c>
      <c r="J245" s="994"/>
      <c r="K245" s="197">
        <f t="shared" si="63"/>
        <v>1</v>
      </c>
      <c r="L245" s="994"/>
      <c r="M245" s="197">
        <f t="shared" si="64"/>
        <v>1</v>
      </c>
      <c r="N245" s="994"/>
      <c r="O245" s="197">
        <f t="shared" si="65"/>
        <v>1</v>
      </c>
      <c r="P245" s="994"/>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4"/>
      <c r="E246" s="197">
        <f t="shared" si="60"/>
        <v>0</v>
      </c>
      <c r="F246" s="994"/>
      <c r="G246" s="197">
        <f t="shared" si="61"/>
        <v>1</v>
      </c>
      <c r="H246" s="994"/>
      <c r="I246" s="197">
        <f t="shared" si="62"/>
        <v>1</v>
      </c>
      <c r="J246" s="994"/>
      <c r="K246" s="197">
        <f t="shared" si="63"/>
        <v>1</v>
      </c>
      <c r="L246" s="994"/>
      <c r="M246" s="197">
        <f t="shared" si="64"/>
        <v>1</v>
      </c>
      <c r="N246" s="994"/>
      <c r="O246" s="197">
        <f t="shared" si="65"/>
        <v>1</v>
      </c>
      <c r="P246" s="994"/>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4"/>
      <c r="E247" s="197">
        <f t="shared" si="60"/>
        <v>0</v>
      </c>
      <c r="F247" s="994"/>
      <c r="G247" s="197">
        <f t="shared" si="61"/>
        <v>1</v>
      </c>
      <c r="H247" s="994"/>
      <c r="I247" s="197">
        <f t="shared" si="62"/>
        <v>1</v>
      </c>
      <c r="J247" s="994"/>
      <c r="K247" s="197">
        <f t="shared" si="63"/>
        <v>1</v>
      </c>
      <c r="L247" s="994"/>
      <c r="M247" s="197">
        <f t="shared" si="64"/>
        <v>1</v>
      </c>
      <c r="N247" s="994"/>
      <c r="O247" s="197">
        <f t="shared" si="65"/>
        <v>1</v>
      </c>
      <c r="P247" s="994"/>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4"/>
      <c r="E248" s="197">
        <f t="shared" si="60"/>
        <v>0</v>
      </c>
      <c r="F248" s="994"/>
      <c r="G248" s="197">
        <f t="shared" si="61"/>
        <v>1</v>
      </c>
      <c r="H248" s="994"/>
      <c r="I248" s="197">
        <f t="shared" si="62"/>
        <v>1</v>
      </c>
      <c r="J248" s="994"/>
      <c r="K248" s="197">
        <f t="shared" si="63"/>
        <v>1</v>
      </c>
      <c r="L248" s="994"/>
      <c r="M248" s="197">
        <f t="shared" si="64"/>
        <v>1</v>
      </c>
      <c r="N248" s="994"/>
      <c r="O248" s="197">
        <f t="shared" si="65"/>
        <v>1</v>
      </c>
      <c r="P248" s="994"/>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4"/>
      <c r="E249" s="197">
        <f t="shared" si="60"/>
        <v>0</v>
      </c>
      <c r="F249" s="994"/>
      <c r="G249" s="197">
        <f t="shared" si="61"/>
        <v>1</v>
      </c>
      <c r="H249" s="994"/>
      <c r="I249" s="197">
        <f t="shared" si="62"/>
        <v>1</v>
      </c>
      <c r="J249" s="994"/>
      <c r="K249" s="197">
        <f t="shared" si="63"/>
        <v>1</v>
      </c>
      <c r="L249" s="994"/>
      <c r="M249" s="197">
        <f t="shared" si="64"/>
        <v>1</v>
      </c>
      <c r="N249" s="994"/>
      <c r="O249" s="197">
        <f t="shared" si="65"/>
        <v>1</v>
      </c>
      <c r="P249" s="994"/>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4"/>
      <c r="E250" s="197">
        <f t="shared" si="60"/>
        <v>0</v>
      </c>
      <c r="F250" s="994"/>
      <c r="G250" s="197">
        <f t="shared" si="61"/>
        <v>1</v>
      </c>
      <c r="H250" s="994"/>
      <c r="I250" s="197">
        <f t="shared" si="62"/>
        <v>1</v>
      </c>
      <c r="J250" s="994"/>
      <c r="K250" s="197">
        <f t="shared" si="63"/>
        <v>1</v>
      </c>
      <c r="L250" s="994"/>
      <c r="M250" s="197">
        <f t="shared" si="64"/>
        <v>1</v>
      </c>
      <c r="N250" s="994"/>
      <c r="O250" s="197">
        <f t="shared" si="65"/>
        <v>1</v>
      </c>
      <c r="P250" s="994"/>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4"/>
      <c r="E251" s="197">
        <f t="shared" si="60"/>
        <v>0</v>
      </c>
      <c r="F251" s="994"/>
      <c r="G251" s="197">
        <f t="shared" si="61"/>
        <v>1</v>
      </c>
      <c r="H251" s="994"/>
      <c r="I251" s="197">
        <f t="shared" si="62"/>
        <v>1</v>
      </c>
      <c r="J251" s="994"/>
      <c r="K251" s="197">
        <f t="shared" si="63"/>
        <v>1</v>
      </c>
      <c r="L251" s="994"/>
      <c r="M251" s="197">
        <f t="shared" si="64"/>
        <v>1</v>
      </c>
      <c r="N251" s="994"/>
      <c r="O251" s="197">
        <f t="shared" si="65"/>
        <v>1</v>
      </c>
      <c r="P251" s="994"/>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4"/>
      <c r="E252" s="197">
        <f t="shared" si="60"/>
        <v>0</v>
      </c>
      <c r="F252" s="994"/>
      <c r="G252" s="197">
        <f t="shared" si="61"/>
        <v>1</v>
      </c>
      <c r="H252" s="994"/>
      <c r="I252" s="197">
        <f t="shared" si="62"/>
        <v>1</v>
      </c>
      <c r="J252" s="994"/>
      <c r="K252" s="197">
        <f t="shared" si="63"/>
        <v>1</v>
      </c>
      <c r="L252" s="994"/>
      <c r="M252" s="197">
        <f t="shared" si="64"/>
        <v>1</v>
      </c>
      <c r="N252" s="994"/>
      <c r="O252" s="197">
        <f t="shared" si="65"/>
        <v>1</v>
      </c>
      <c r="P252" s="994"/>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4"/>
      <c r="E253" s="197">
        <f t="shared" si="60"/>
        <v>0</v>
      </c>
      <c r="F253" s="994"/>
      <c r="G253" s="197">
        <f t="shared" si="61"/>
        <v>1</v>
      </c>
      <c r="H253" s="994"/>
      <c r="I253" s="197">
        <f t="shared" si="62"/>
        <v>1</v>
      </c>
      <c r="J253" s="994"/>
      <c r="K253" s="197">
        <f t="shared" si="63"/>
        <v>1</v>
      </c>
      <c r="L253" s="994"/>
      <c r="M253" s="197">
        <f t="shared" si="64"/>
        <v>1</v>
      </c>
      <c r="N253" s="994"/>
      <c r="O253" s="197">
        <f t="shared" si="65"/>
        <v>1</v>
      </c>
      <c r="P253" s="994"/>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4"/>
      <c r="E254" s="197">
        <f t="shared" si="60"/>
        <v>0</v>
      </c>
      <c r="F254" s="994"/>
      <c r="G254" s="197">
        <f t="shared" si="61"/>
        <v>1</v>
      </c>
      <c r="H254" s="994"/>
      <c r="I254" s="197">
        <f t="shared" si="62"/>
        <v>1</v>
      </c>
      <c r="J254" s="994"/>
      <c r="K254" s="197">
        <f t="shared" si="63"/>
        <v>1</v>
      </c>
      <c r="L254" s="994"/>
      <c r="M254" s="197">
        <f t="shared" si="64"/>
        <v>1</v>
      </c>
      <c r="N254" s="994"/>
      <c r="O254" s="197">
        <f t="shared" si="65"/>
        <v>1</v>
      </c>
      <c r="P254" s="994"/>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4"/>
      <c r="E255" s="197">
        <f t="shared" si="60"/>
        <v>0</v>
      </c>
      <c r="F255" s="994"/>
      <c r="G255" s="197">
        <f t="shared" si="61"/>
        <v>1</v>
      </c>
      <c r="H255" s="994"/>
      <c r="I255" s="197">
        <f t="shared" si="62"/>
        <v>1</v>
      </c>
      <c r="J255" s="994"/>
      <c r="K255" s="197">
        <f t="shared" si="63"/>
        <v>1</v>
      </c>
      <c r="L255" s="994"/>
      <c r="M255" s="197">
        <f t="shared" si="64"/>
        <v>1</v>
      </c>
      <c r="N255" s="994"/>
      <c r="O255" s="197">
        <f t="shared" si="65"/>
        <v>1</v>
      </c>
      <c r="P255" s="994"/>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4"/>
      <c r="E256" s="197">
        <f t="shared" si="60"/>
        <v>0</v>
      </c>
      <c r="F256" s="994"/>
      <c r="G256" s="197">
        <f t="shared" si="61"/>
        <v>1</v>
      </c>
      <c r="H256" s="994"/>
      <c r="I256" s="197">
        <f t="shared" si="62"/>
        <v>1</v>
      </c>
      <c r="J256" s="994"/>
      <c r="K256" s="197">
        <f t="shared" si="63"/>
        <v>1</v>
      </c>
      <c r="L256" s="994"/>
      <c r="M256" s="197">
        <f t="shared" si="64"/>
        <v>1</v>
      </c>
      <c r="N256" s="994"/>
      <c r="O256" s="197">
        <f t="shared" si="65"/>
        <v>1</v>
      </c>
      <c r="P256" s="994"/>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4"/>
      <c r="E257" s="197">
        <f t="shared" si="60"/>
        <v>0</v>
      </c>
      <c r="F257" s="994"/>
      <c r="G257" s="197">
        <f t="shared" si="61"/>
        <v>1</v>
      </c>
      <c r="H257" s="994"/>
      <c r="I257" s="197">
        <f t="shared" si="62"/>
        <v>1</v>
      </c>
      <c r="J257" s="994"/>
      <c r="K257" s="197">
        <f t="shared" si="63"/>
        <v>1</v>
      </c>
      <c r="L257" s="994"/>
      <c r="M257" s="197">
        <f t="shared" si="64"/>
        <v>1</v>
      </c>
      <c r="N257" s="994"/>
      <c r="O257" s="197">
        <f t="shared" si="65"/>
        <v>1</v>
      </c>
      <c r="P257" s="994"/>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4"/>
      <c r="E258" s="197">
        <f t="shared" si="60"/>
        <v>0</v>
      </c>
      <c r="F258" s="994"/>
      <c r="G258" s="197">
        <f t="shared" si="61"/>
        <v>1</v>
      </c>
      <c r="H258" s="994"/>
      <c r="I258" s="197">
        <f t="shared" si="62"/>
        <v>1</v>
      </c>
      <c r="J258" s="994"/>
      <c r="K258" s="197">
        <f t="shared" si="63"/>
        <v>1</v>
      </c>
      <c r="L258" s="994"/>
      <c r="M258" s="197">
        <f t="shared" si="64"/>
        <v>1</v>
      </c>
      <c r="N258" s="994"/>
      <c r="O258" s="197">
        <f t="shared" si="65"/>
        <v>1</v>
      </c>
      <c r="P258" s="994"/>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4"/>
      <c r="E259" s="197">
        <f t="shared" si="60"/>
        <v>0</v>
      </c>
      <c r="F259" s="994"/>
      <c r="G259" s="197">
        <f t="shared" si="61"/>
        <v>1</v>
      </c>
      <c r="H259" s="994"/>
      <c r="I259" s="197">
        <f t="shared" si="62"/>
        <v>1</v>
      </c>
      <c r="J259" s="994"/>
      <c r="K259" s="197">
        <f t="shared" si="63"/>
        <v>1</v>
      </c>
      <c r="L259" s="994"/>
      <c r="M259" s="197">
        <f t="shared" si="64"/>
        <v>1</v>
      </c>
      <c r="N259" s="994"/>
      <c r="O259" s="197">
        <f t="shared" si="65"/>
        <v>1</v>
      </c>
      <c r="P259" s="994"/>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4"/>
      <c r="E260" s="197">
        <f t="shared" si="60"/>
        <v>0</v>
      </c>
      <c r="F260" s="994"/>
      <c r="G260" s="197">
        <f t="shared" si="61"/>
        <v>1</v>
      </c>
      <c r="H260" s="994"/>
      <c r="I260" s="197">
        <f t="shared" si="62"/>
        <v>1</v>
      </c>
      <c r="J260" s="994"/>
      <c r="K260" s="197">
        <f t="shared" si="63"/>
        <v>1</v>
      </c>
      <c r="L260" s="994"/>
      <c r="M260" s="197">
        <f t="shared" si="64"/>
        <v>1</v>
      </c>
      <c r="N260" s="994"/>
      <c r="O260" s="197">
        <f t="shared" si="65"/>
        <v>1</v>
      </c>
      <c r="P260" s="994"/>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4"/>
      <c r="E261" s="197">
        <f t="shared" si="60"/>
        <v>0</v>
      </c>
      <c r="F261" s="994"/>
      <c r="G261" s="197">
        <f t="shared" si="61"/>
        <v>1</v>
      </c>
      <c r="H261" s="994"/>
      <c r="I261" s="197">
        <f t="shared" si="62"/>
        <v>1</v>
      </c>
      <c r="J261" s="994"/>
      <c r="K261" s="197">
        <f t="shared" si="63"/>
        <v>1</v>
      </c>
      <c r="L261" s="994"/>
      <c r="M261" s="197">
        <f t="shared" si="64"/>
        <v>1</v>
      </c>
      <c r="N261" s="994"/>
      <c r="O261" s="197">
        <f t="shared" si="65"/>
        <v>1</v>
      </c>
      <c r="P261" s="994"/>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4"/>
      <c r="E262" s="197">
        <f t="shared" si="60"/>
        <v>0</v>
      </c>
      <c r="F262" s="994"/>
      <c r="G262" s="197">
        <f t="shared" si="61"/>
        <v>1</v>
      </c>
      <c r="H262" s="994"/>
      <c r="I262" s="197">
        <f t="shared" si="62"/>
        <v>1</v>
      </c>
      <c r="J262" s="994"/>
      <c r="K262" s="197">
        <f t="shared" si="63"/>
        <v>1</v>
      </c>
      <c r="L262" s="994"/>
      <c r="M262" s="197">
        <f t="shared" si="64"/>
        <v>1</v>
      </c>
      <c r="N262" s="994"/>
      <c r="O262" s="197">
        <f t="shared" si="65"/>
        <v>1</v>
      </c>
      <c r="P262" s="994"/>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4"/>
      <c r="E263" s="197">
        <f t="shared" si="60"/>
        <v>0</v>
      </c>
      <c r="F263" s="994"/>
      <c r="G263" s="197">
        <f t="shared" si="61"/>
        <v>1</v>
      </c>
      <c r="H263" s="994"/>
      <c r="I263" s="197">
        <f t="shared" si="62"/>
        <v>1</v>
      </c>
      <c r="J263" s="994"/>
      <c r="K263" s="197">
        <f t="shared" si="63"/>
        <v>1</v>
      </c>
      <c r="L263" s="994"/>
      <c r="M263" s="197">
        <f t="shared" si="64"/>
        <v>1</v>
      </c>
      <c r="N263" s="994"/>
      <c r="O263" s="197">
        <f t="shared" si="65"/>
        <v>1</v>
      </c>
      <c r="P263" s="994"/>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4"/>
      <c r="E264" s="197">
        <f t="shared" si="60"/>
        <v>0</v>
      </c>
      <c r="F264" s="994"/>
      <c r="G264" s="197">
        <f t="shared" si="61"/>
        <v>1</v>
      </c>
      <c r="H264" s="994"/>
      <c r="I264" s="197">
        <f t="shared" si="62"/>
        <v>1</v>
      </c>
      <c r="J264" s="994"/>
      <c r="K264" s="197">
        <f t="shared" si="63"/>
        <v>1</v>
      </c>
      <c r="L264" s="994"/>
      <c r="M264" s="197">
        <f t="shared" si="64"/>
        <v>1</v>
      </c>
      <c r="N264" s="994"/>
      <c r="O264" s="197">
        <f t="shared" si="65"/>
        <v>1</v>
      </c>
      <c r="P264" s="994"/>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4"/>
      <c r="E265" s="197">
        <f t="shared" si="60"/>
        <v>0</v>
      </c>
      <c r="F265" s="994"/>
      <c r="G265" s="197">
        <f t="shared" si="61"/>
        <v>1</v>
      </c>
      <c r="H265" s="994"/>
      <c r="I265" s="197">
        <f t="shared" si="62"/>
        <v>1</v>
      </c>
      <c r="J265" s="994"/>
      <c r="K265" s="197">
        <f t="shared" si="63"/>
        <v>1</v>
      </c>
      <c r="L265" s="994"/>
      <c r="M265" s="197">
        <f t="shared" si="64"/>
        <v>1</v>
      </c>
      <c r="N265" s="994"/>
      <c r="O265" s="197">
        <f t="shared" si="65"/>
        <v>1</v>
      </c>
      <c r="P265" s="994"/>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4"/>
      <c r="E266" s="197">
        <f t="shared" si="60"/>
        <v>0</v>
      </c>
      <c r="F266" s="994"/>
      <c r="G266" s="197">
        <f t="shared" si="61"/>
        <v>1</v>
      </c>
      <c r="H266" s="994"/>
      <c r="I266" s="197">
        <f t="shared" si="62"/>
        <v>1</v>
      </c>
      <c r="J266" s="994"/>
      <c r="K266" s="197">
        <f t="shared" si="63"/>
        <v>1</v>
      </c>
      <c r="L266" s="994"/>
      <c r="M266" s="197">
        <f t="shared" si="64"/>
        <v>1</v>
      </c>
      <c r="N266" s="994"/>
      <c r="O266" s="197">
        <f t="shared" si="65"/>
        <v>1</v>
      </c>
      <c r="P266" s="994"/>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4"/>
      <c r="E267" s="197">
        <f t="shared" si="60"/>
        <v>0</v>
      </c>
      <c r="F267" s="994"/>
      <c r="G267" s="197">
        <f t="shared" si="61"/>
        <v>1</v>
      </c>
      <c r="H267" s="994"/>
      <c r="I267" s="197">
        <f t="shared" si="62"/>
        <v>1</v>
      </c>
      <c r="J267" s="994"/>
      <c r="K267" s="197">
        <f t="shared" si="63"/>
        <v>1</v>
      </c>
      <c r="L267" s="994"/>
      <c r="M267" s="197">
        <f t="shared" si="64"/>
        <v>1</v>
      </c>
      <c r="N267" s="994"/>
      <c r="O267" s="197">
        <f t="shared" si="65"/>
        <v>1</v>
      </c>
      <c r="P267" s="994"/>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4"/>
      <c r="E268" s="197">
        <f t="shared" si="60"/>
        <v>0</v>
      </c>
      <c r="F268" s="994"/>
      <c r="G268" s="197">
        <f t="shared" si="61"/>
        <v>1</v>
      </c>
      <c r="H268" s="994"/>
      <c r="I268" s="197">
        <f t="shared" si="62"/>
        <v>1</v>
      </c>
      <c r="J268" s="994"/>
      <c r="K268" s="197">
        <f t="shared" si="63"/>
        <v>1</v>
      </c>
      <c r="L268" s="994"/>
      <c r="M268" s="197">
        <f t="shared" si="64"/>
        <v>1</v>
      </c>
      <c r="N268" s="994"/>
      <c r="O268" s="197">
        <f t="shared" si="65"/>
        <v>1</v>
      </c>
      <c r="P268" s="994"/>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4"/>
      <c r="E269" s="197">
        <f t="shared" si="60"/>
        <v>0</v>
      </c>
      <c r="F269" s="994"/>
      <c r="G269" s="197">
        <f t="shared" si="61"/>
        <v>1</v>
      </c>
      <c r="H269" s="994"/>
      <c r="I269" s="197">
        <f t="shared" si="62"/>
        <v>1</v>
      </c>
      <c r="J269" s="994"/>
      <c r="K269" s="197">
        <f t="shared" si="63"/>
        <v>1</v>
      </c>
      <c r="L269" s="994"/>
      <c r="M269" s="197">
        <f t="shared" si="64"/>
        <v>1</v>
      </c>
      <c r="N269" s="994"/>
      <c r="O269" s="197">
        <f t="shared" si="65"/>
        <v>1</v>
      </c>
      <c r="P269" s="994"/>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4"/>
      <c r="E270" s="197">
        <f t="shared" si="60"/>
        <v>0</v>
      </c>
      <c r="F270" s="994"/>
      <c r="G270" s="197">
        <f t="shared" si="61"/>
        <v>1</v>
      </c>
      <c r="H270" s="994"/>
      <c r="I270" s="197">
        <f t="shared" si="62"/>
        <v>1</v>
      </c>
      <c r="J270" s="994"/>
      <c r="K270" s="197">
        <f t="shared" si="63"/>
        <v>1</v>
      </c>
      <c r="L270" s="994"/>
      <c r="M270" s="197">
        <f t="shared" si="64"/>
        <v>1</v>
      </c>
      <c r="N270" s="994"/>
      <c r="O270" s="197">
        <f t="shared" si="65"/>
        <v>1</v>
      </c>
      <c r="P270" s="994"/>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4"/>
      <c r="E271" s="197">
        <f t="shared" si="60"/>
        <v>0</v>
      </c>
      <c r="F271" s="994"/>
      <c r="G271" s="197">
        <f t="shared" si="61"/>
        <v>1</v>
      </c>
      <c r="H271" s="994"/>
      <c r="I271" s="197">
        <f t="shared" si="62"/>
        <v>1</v>
      </c>
      <c r="J271" s="994"/>
      <c r="K271" s="197">
        <f t="shared" si="63"/>
        <v>1</v>
      </c>
      <c r="L271" s="994"/>
      <c r="M271" s="197">
        <f t="shared" si="64"/>
        <v>1</v>
      </c>
      <c r="N271" s="994"/>
      <c r="O271" s="197">
        <f t="shared" si="65"/>
        <v>1</v>
      </c>
      <c r="P271" s="994"/>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4"/>
      <c r="E272" s="197">
        <f t="shared" si="60"/>
        <v>0</v>
      </c>
      <c r="F272" s="994"/>
      <c r="G272" s="197">
        <f t="shared" si="61"/>
        <v>1</v>
      </c>
      <c r="H272" s="994"/>
      <c r="I272" s="197">
        <f t="shared" si="62"/>
        <v>1</v>
      </c>
      <c r="J272" s="994"/>
      <c r="K272" s="197">
        <f t="shared" si="63"/>
        <v>1</v>
      </c>
      <c r="L272" s="994"/>
      <c r="M272" s="197">
        <f t="shared" si="64"/>
        <v>1</v>
      </c>
      <c r="N272" s="994"/>
      <c r="O272" s="197">
        <f t="shared" si="65"/>
        <v>1</v>
      </c>
      <c r="P272" s="994"/>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4"/>
      <c r="E273" s="197">
        <f t="shared" si="60"/>
        <v>0</v>
      </c>
      <c r="F273" s="994"/>
      <c r="G273" s="197">
        <f t="shared" si="61"/>
        <v>1</v>
      </c>
      <c r="H273" s="994"/>
      <c r="I273" s="197">
        <f t="shared" si="62"/>
        <v>1</v>
      </c>
      <c r="J273" s="994"/>
      <c r="K273" s="197">
        <f t="shared" si="63"/>
        <v>1</v>
      </c>
      <c r="L273" s="994"/>
      <c r="M273" s="197">
        <f t="shared" si="64"/>
        <v>1</v>
      </c>
      <c r="N273" s="994"/>
      <c r="O273" s="197">
        <f t="shared" si="65"/>
        <v>1</v>
      </c>
      <c r="P273" s="994"/>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4"/>
      <c r="E274" s="197">
        <f t="shared" si="60"/>
        <v>0</v>
      </c>
      <c r="F274" s="994"/>
      <c r="G274" s="197">
        <f t="shared" si="61"/>
        <v>1</v>
      </c>
      <c r="H274" s="994"/>
      <c r="I274" s="197">
        <f t="shared" si="62"/>
        <v>1</v>
      </c>
      <c r="J274" s="994"/>
      <c r="K274" s="197">
        <f t="shared" si="63"/>
        <v>1</v>
      </c>
      <c r="L274" s="994"/>
      <c r="M274" s="197">
        <f t="shared" si="64"/>
        <v>1</v>
      </c>
      <c r="N274" s="994"/>
      <c r="O274" s="197">
        <f t="shared" si="65"/>
        <v>1</v>
      </c>
      <c r="P274" s="994"/>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4"/>
      <c r="E275" s="197">
        <f t="shared" si="60"/>
        <v>0</v>
      </c>
      <c r="F275" s="994"/>
      <c r="G275" s="197">
        <f t="shared" si="61"/>
        <v>1</v>
      </c>
      <c r="H275" s="994"/>
      <c r="I275" s="197">
        <f t="shared" si="62"/>
        <v>1</v>
      </c>
      <c r="J275" s="994"/>
      <c r="K275" s="197">
        <f t="shared" si="63"/>
        <v>1</v>
      </c>
      <c r="L275" s="994"/>
      <c r="M275" s="197">
        <f t="shared" si="64"/>
        <v>1</v>
      </c>
      <c r="N275" s="994"/>
      <c r="O275" s="197">
        <f t="shared" si="65"/>
        <v>1</v>
      </c>
      <c r="P275" s="994"/>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4"/>
      <c r="E276" s="197">
        <f t="shared" si="60"/>
        <v>0</v>
      </c>
      <c r="F276" s="994"/>
      <c r="G276" s="197">
        <f t="shared" si="61"/>
        <v>1</v>
      </c>
      <c r="H276" s="994"/>
      <c r="I276" s="197">
        <f t="shared" si="62"/>
        <v>1</v>
      </c>
      <c r="J276" s="994"/>
      <c r="K276" s="197">
        <f t="shared" si="63"/>
        <v>1</v>
      </c>
      <c r="L276" s="994"/>
      <c r="M276" s="197">
        <f t="shared" si="64"/>
        <v>1</v>
      </c>
      <c r="N276" s="994"/>
      <c r="O276" s="197">
        <f t="shared" si="65"/>
        <v>1</v>
      </c>
      <c r="P276" s="994"/>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4"/>
      <c r="E277" s="197">
        <f t="shared" si="60"/>
        <v>0</v>
      </c>
      <c r="F277" s="994"/>
      <c r="G277" s="197">
        <f t="shared" si="61"/>
        <v>1</v>
      </c>
      <c r="H277" s="994"/>
      <c r="I277" s="197">
        <f t="shared" si="62"/>
        <v>1</v>
      </c>
      <c r="J277" s="994"/>
      <c r="K277" s="197">
        <f t="shared" si="63"/>
        <v>1</v>
      </c>
      <c r="L277" s="994"/>
      <c r="M277" s="197">
        <f t="shared" si="64"/>
        <v>1</v>
      </c>
      <c r="N277" s="994"/>
      <c r="O277" s="197">
        <f t="shared" si="65"/>
        <v>1</v>
      </c>
      <c r="P277" s="994"/>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4"/>
      <c r="E278" s="197">
        <f t="shared" si="60"/>
        <v>0</v>
      </c>
      <c r="F278" s="994"/>
      <c r="G278" s="197">
        <f t="shared" si="61"/>
        <v>1</v>
      </c>
      <c r="H278" s="994"/>
      <c r="I278" s="197">
        <f t="shared" si="62"/>
        <v>1</v>
      </c>
      <c r="J278" s="994"/>
      <c r="K278" s="197">
        <f t="shared" si="63"/>
        <v>1</v>
      </c>
      <c r="L278" s="994"/>
      <c r="M278" s="197">
        <f t="shared" si="64"/>
        <v>1</v>
      </c>
      <c r="N278" s="994"/>
      <c r="O278" s="197">
        <f t="shared" si="65"/>
        <v>1</v>
      </c>
      <c r="P278" s="994"/>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4"/>
      <c r="E279" s="197">
        <f t="shared" si="60"/>
        <v>0</v>
      </c>
      <c r="F279" s="994"/>
      <c r="G279" s="197">
        <f t="shared" si="61"/>
        <v>1</v>
      </c>
      <c r="H279" s="994"/>
      <c r="I279" s="197">
        <f t="shared" si="62"/>
        <v>1</v>
      </c>
      <c r="J279" s="994"/>
      <c r="K279" s="197">
        <f t="shared" si="63"/>
        <v>1</v>
      </c>
      <c r="L279" s="994"/>
      <c r="M279" s="197">
        <f t="shared" si="64"/>
        <v>1</v>
      </c>
      <c r="N279" s="994"/>
      <c r="O279" s="197">
        <f t="shared" si="65"/>
        <v>1</v>
      </c>
      <c r="P279" s="994"/>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4"/>
      <c r="E280" s="197">
        <f t="shared" si="60"/>
        <v>0</v>
      </c>
      <c r="F280" s="994"/>
      <c r="G280" s="197">
        <f t="shared" si="61"/>
        <v>1</v>
      </c>
      <c r="H280" s="994"/>
      <c r="I280" s="197">
        <f t="shared" si="62"/>
        <v>1</v>
      </c>
      <c r="J280" s="994"/>
      <c r="K280" s="197">
        <f t="shared" si="63"/>
        <v>1</v>
      </c>
      <c r="L280" s="994"/>
      <c r="M280" s="197">
        <f t="shared" si="64"/>
        <v>1</v>
      </c>
      <c r="N280" s="994"/>
      <c r="O280" s="197">
        <f t="shared" si="65"/>
        <v>1</v>
      </c>
      <c r="P280" s="994"/>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4"/>
      <c r="E281" s="197">
        <f t="shared" si="60"/>
        <v>0</v>
      </c>
      <c r="F281" s="994"/>
      <c r="G281" s="197">
        <f t="shared" si="61"/>
        <v>1</v>
      </c>
      <c r="H281" s="994"/>
      <c r="I281" s="197">
        <f t="shared" si="62"/>
        <v>1</v>
      </c>
      <c r="J281" s="994"/>
      <c r="K281" s="197">
        <f t="shared" si="63"/>
        <v>1</v>
      </c>
      <c r="L281" s="994"/>
      <c r="M281" s="197">
        <f t="shared" si="64"/>
        <v>1</v>
      </c>
      <c r="N281" s="994"/>
      <c r="O281" s="197">
        <f t="shared" si="65"/>
        <v>1</v>
      </c>
      <c r="P281" s="994"/>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4"/>
      <c r="E282" s="197">
        <f t="shared" si="60"/>
        <v>0</v>
      </c>
      <c r="F282" s="994"/>
      <c r="G282" s="197">
        <f t="shared" si="61"/>
        <v>1</v>
      </c>
      <c r="H282" s="994"/>
      <c r="I282" s="197">
        <f t="shared" si="62"/>
        <v>1</v>
      </c>
      <c r="J282" s="994"/>
      <c r="K282" s="197">
        <f t="shared" si="63"/>
        <v>1</v>
      </c>
      <c r="L282" s="994"/>
      <c r="M282" s="197">
        <f t="shared" si="64"/>
        <v>1</v>
      </c>
      <c r="N282" s="994"/>
      <c r="O282" s="197">
        <f t="shared" si="65"/>
        <v>1</v>
      </c>
      <c r="P282" s="994"/>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4"/>
      <c r="E283" s="197">
        <f t="shared" si="60"/>
        <v>0</v>
      </c>
      <c r="F283" s="994"/>
      <c r="G283" s="197">
        <f t="shared" si="61"/>
        <v>1</v>
      </c>
      <c r="H283" s="994"/>
      <c r="I283" s="197">
        <f t="shared" si="62"/>
        <v>1</v>
      </c>
      <c r="J283" s="994"/>
      <c r="K283" s="197">
        <f t="shared" si="63"/>
        <v>1</v>
      </c>
      <c r="L283" s="994"/>
      <c r="M283" s="197">
        <f t="shared" si="64"/>
        <v>1</v>
      </c>
      <c r="N283" s="994"/>
      <c r="O283" s="197">
        <f t="shared" si="65"/>
        <v>1</v>
      </c>
      <c r="P283" s="994"/>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4"/>
      <c r="E284" s="197">
        <f t="shared" ref="E284:E347" si="75">(SUMIF($8:$8,D284,$9:$9)-SUMIF($8:$8,$D$27,$9:$9)+100)/100</f>
        <v>0</v>
      </c>
      <c r="F284" s="994"/>
      <c r="G284" s="197">
        <f t="shared" ref="G284:G347" si="76">(SUMIF($10:$10,F284,$11:$11)-SUMIF($10:$10,$F$27,$11:$11)+100)/100</f>
        <v>1</v>
      </c>
      <c r="H284" s="994"/>
      <c r="I284" s="197">
        <f t="shared" ref="I284:I347" si="77">(SUMIF($12:$12,H284,$13:$13)-SUMIF($12:$12,$H$27,$13:$13)+100)/100</f>
        <v>1</v>
      </c>
      <c r="J284" s="994"/>
      <c r="K284" s="197">
        <f t="shared" ref="K284:K347" si="78">(SUMIF($14:$14,J284,$15:$15)-SUMIF($14:$14,$J$27,$15:$15)+100)/100</f>
        <v>1</v>
      </c>
      <c r="L284" s="994"/>
      <c r="M284" s="197">
        <f t="shared" ref="M284:M347" si="79">(SUMIF($16:$16,L284,$17:$17)-SUMIF($16:$16,$L$27,$17:$17)+100)/100</f>
        <v>1</v>
      </c>
      <c r="N284" s="994"/>
      <c r="O284" s="197">
        <f t="shared" ref="O284:O347" si="80">(SUMIF($18:$18,N284,$19:$19)-SUMIF($18:$18,$N$27,$19:$19)+100)/100</f>
        <v>1</v>
      </c>
      <c r="P284" s="994"/>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4"/>
      <c r="E285" s="197">
        <f t="shared" si="75"/>
        <v>0</v>
      </c>
      <c r="F285" s="994"/>
      <c r="G285" s="197">
        <f t="shared" si="76"/>
        <v>1</v>
      </c>
      <c r="H285" s="994"/>
      <c r="I285" s="197">
        <f t="shared" si="77"/>
        <v>1</v>
      </c>
      <c r="J285" s="994"/>
      <c r="K285" s="197">
        <f t="shared" si="78"/>
        <v>1</v>
      </c>
      <c r="L285" s="994"/>
      <c r="M285" s="197">
        <f t="shared" si="79"/>
        <v>1</v>
      </c>
      <c r="N285" s="994"/>
      <c r="O285" s="197">
        <f t="shared" si="80"/>
        <v>1</v>
      </c>
      <c r="P285" s="994"/>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4"/>
      <c r="E286" s="197">
        <f t="shared" si="75"/>
        <v>0</v>
      </c>
      <c r="F286" s="994"/>
      <c r="G286" s="197">
        <f t="shared" si="76"/>
        <v>1</v>
      </c>
      <c r="H286" s="994"/>
      <c r="I286" s="197">
        <f t="shared" si="77"/>
        <v>1</v>
      </c>
      <c r="J286" s="994"/>
      <c r="K286" s="197">
        <f t="shared" si="78"/>
        <v>1</v>
      </c>
      <c r="L286" s="994"/>
      <c r="M286" s="197">
        <f t="shared" si="79"/>
        <v>1</v>
      </c>
      <c r="N286" s="994"/>
      <c r="O286" s="197">
        <f t="shared" si="80"/>
        <v>1</v>
      </c>
      <c r="P286" s="994"/>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4"/>
      <c r="E287" s="197">
        <f t="shared" si="75"/>
        <v>0</v>
      </c>
      <c r="F287" s="994"/>
      <c r="G287" s="197">
        <f t="shared" si="76"/>
        <v>1</v>
      </c>
      <c r="H287" s="994"/>
      <c r="I287" s="197">
        <f t="shared" si="77"/>
        <v>1</v>
      </c>
      <c r="J287" s="994"/>
      <c r="K287" s="197">
        <f t="shared" si="78"/>
        <v>1</v>
      </c>
      <c r="L287" s="994"/>
      <c r="M287" s="197">
        <f t="shared" si="79"/>
        <v>1</v>
      </c>
      <c r="N287" s="994"/>
      <c r="O287" s="197">
        <f t="shared" si="80"/>
        <v>1</v>
      </c>
      <c r="P287" s="994"/>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4"/>
      <c r="E288" s="197">
        <f t="shared" si="75"/>
        <v>0</v>
      </c>
      <c r="F288" s="994"/>
      <c r="G288" s="197">
        <f t="shared" si="76"/>
        <v>1</v>
      </c>
      <c r="H288" s="994"/>
      <c r="I288" s="197">
        <f t="shared" si="77"/>
        <v>1</v>
      </c>
      <c r="J288" s="994"/>
      <c r="K288" s="197">
        <f t="shared" si="78"/>
        <v>1</v>
      </c>
      <c r="L288" s="994"/>
      <c r="M288" s="197">
        <f t="shared" si="79"/>
        <v>1</v>
      </c>
      <c r="N288" s="994"/>
      <c r="O288" s="197">
        <f t="shared" si="80"/>
        <v>1</v>
      </c>
      <c r="P288" s="994"/>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4"/>
      <c r="E289" s="197">
        <f t="shared" si="75"/>
        <v>0</v>
      </c>
      <c r="F289" s="994"/>
      <c r="G289" s="197">
        <f t="shared" si="76"/>
        <v>1</v>
      </c>
      <c r="H289" s="994"/>
      <c r="I289" s="197">
        <f t="shared" si="77"/>
        <v>1</v>
      </c>
      <c r="J289" s="994"/>
      <c r="K289" s="197">
        <f t="shared" si="78"/>
        <v>1</v>
      </c>
      <c r="L289" s="994"/>
      <c r="M289" s="197">
        <f t="shared" si="79"/>
        <v>1</v>
      </c>
      <c r="N289" s="994"/>
      <c r="O289" s="197">
        <f t="shared" si="80"/>
        <v>1</v>
      </c>
      <c r="P289" s="994"/>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4"/>
      <c r="E290" s="197">
        <f t="shared" si="75"/>
        <v>0</v>
      </c>
      <c r="F290" s="994"/>
      <c r="G290" s="197">
        <f t="shared" si="76"/>
        <v>1</v>
      </c>
      <c r="H290" s="994"/>
      <c r="I290" s="197">
        <f t="shared" si="77"/>
        <v>1</v>
      </c>
      <c r="J290" s="994"/>
      <c r="K290" s="197">
        <f t="shared" si="78"/>
        <v>1</v>
      </c>
      <c r="L290" s="994"/>
      <c r="M290" s="197">
        <f t="shared" si="79"/>
        <v>1</v>
      </c>
      <c r="N290" s="994"/>
      <c r="O290" s="197">
        <f t="shared" si="80"/>
        <v>1</v>
      </c>
      <c r="P290" s="994"/>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4"/>
      <c r="E291" s="197">
        <f t="shared" si="75"/>
        <v>0</v>
      </c>
      <c r="F291" s="994"/>
      <c r="G291" s="197">
        <f t="shared" si="76"/>
        <v>1</v>
      </c>
      <c r="H291" s="994"/>
      <c r="I291" s="197">
        <f t="shared" si="77"/>
        <v>1</v>
      </c>
      <c r="J291" s="994"/>
      <c r="K291" s="197">
        <f t="shared" si="78"/>
        <v>1</v>
      </c>
      <c r="L291" s="994"/>
      <c r="M291" s="197">
        <f t="shared" si="79"/>
        <v>1</v>
      </c>
      <c r="N291" s="994"/>
      <c r="O291" s="197">
        <f t="shared" si="80"/>
        <v>1</v>
      </c>
      <c r="P291" s="994"/>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4"/>
      <c r="E292" s="197">
        <f t="shared" si="75"/>
        <v>0</v>
      </c>
      <c r="F292" s="994"/>
      <c r="G292" s="197">
        <f t="shared" si="76"/>
        <v>1</v>
      </c>
      <c r="H292" s="994"/>
      <c r="I292" s="197">
        <f t="shared" si="77"/>
        <v>1</v>
      </c>
      <c r="J292" s="994"/>
      <c r="K292" s="197">
        <f t="shared" si="78"/>
        <v>1</v>
      </c>
      <c r="L292" s="994"/>
      <c r="M292" s="197">
        <f t="shared" si="79"/>
        <v>1</v>
      </c>
      <c r="N292" s="994"/>
      <c r="O292" s="197">
        <f t="shared" si="80"/>
        <v>1</v>
      </c>
      <c r="P292" s="994"/>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4"/>
      <c r="E293" s="197">
        <f t="shared" si="75"/>
        <v>0</v>
      </c>
      <c r="F293" s="994"/>
      <c r="G293" s="197">
        <f t="shared" si="76"/>
        <v>1</v>
      </c>
      <c r="H293" s="994"/>
      <c r="I293" s="197">
        <f t="shared" si="77"/>
        <v>1</v>
      </c>
      <c r="J293" s="994"/>
      <c r="K293" s="197">
        <f t="shared" si="78"/>
        <v>1</v>
      </c>
      <c r="L293" s="994"/>
      <c r="M293" s="197">
        <f t="shared" si="79"/>
        <v>1</v>
      </c>
      <c r="N293" s="994"/>
      <c r="O293" s="197">
        <f t="shared" si="80"/>
        <v>1</v>
      </c>
      <c r="P293" s="994"/>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4"/>
      <c r="E294" s="197">
        <f t="shared" si="75"/>
        <v>0</v>
      </c>
      <c r="F294" s="994"/>
      <c r="G294" s="197">
        <f t="shared" si="76"/>
        <v>1</v>
      </c>
      <c r="H294" s="994"/>
      <c r="I294" s="197">
        <f t="shared" si="77"/>
        <v>1</v>
      </c>
      <c r="J294" s="994"/>
      <c r="K294" s="197">
        <f t="shared" si="78"/>
        <v>1</v>
      </c>
      <c r="L294" s="994"/>
      <c r="M294" s="197">
        <f t="shared" si="79"/>
        <v>1</v>
      </c>
      <c r="N294" s="994"/>
      <c r="O294" s="197">
        <f t="shared" si="80"/>
        <v>1</v>
      </c>
      <c r="P294" s="994"/>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4"/>
      <c r="E295" s="197">
        <f t="shared" si="75"/>
        <v>0</v>
      </c>
      <c r="F295" s="994"/>
      <c r="G295" s="197">
        <f t="shared" si="76"/>
        <v>1</v>
      </c>
      <c r="H295" s="994"/>
      <c r="I295" s="197">
        <f t="shared" si="77"/>
        <v>1</v>
      </c>
      <c r="J295" s="994"/>
      <c r="K295" s="197">
        <f t="shared" si="78"/>
        <v>1</v>
      </c>
      <c r="L295" s="994"/>
      <c r="M295" s="197">
        <f t="shared" si="79"/>
        <v>1</v>
      </c>
      <c r="N295" s="994"/>
      <c r="O295" s="197">
        <f t="shared" si="80"/>
        <v>1</v>
      </c>
      <c r="P295" s="994"/>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4"/>
      <c r="E296" s="197">
        <f t="shared" si="75"/>
        <v>0</v>
      </c>
      <c r="F296" s="994"/>
      <c r="G296" s="197">
        <f t="shared" si="76"/>
        <v>1</v>
      </c>
      <c r="H296" s="994"/>
      <c r="I296" s="197">
        <f t="shared" si="77"/>
        <v>1</v>
      </c>
      <c r="J296" s="994"/>
      <c r="K296" s="197">
        <f t="shared" si="78"/>
        <v>1</v>
      </c>
      <c r="L296" s="994"/>
      <c r="M296" s="197">
        <f t="shared" si="79"/>
        <v>1</v>
      </c>
      <c r="N296" s="994"/>
      <c r="O296" s="197">
        <f t="shared" si="80"/>
        <v>1</v>
      </c>
      <c r="P296" s="994"/>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4"/>
      <c r="E297" s="197">
        <f t="shared" si="75"/>
        <v>0</v>
      </c>
      <c r="F297" s="994"/>
      <c r="G297" s="197">
        <f t="shared" si="76"/>
        <v>1</v>
      </c>
      <c r="H297" s="994"/>
      <c r="I297" s="197">
        <f t="shared" si="77"/>
        <v>1</v>
      </c>
      <c r="J297" s="994"/>
      <c r="K297" s="197">
        <f t="shared" si="78"/>
        <v>1</v>
      </c>
      <c r="L297" s="994"/>
      <c r="M297" s="197">
        <f t="shared" si="79"/>
        <v>1</v>
      </c>
      <c r="N297" s="994"/>
      <c r="O297" s="197">
        <f t="shared" si="80"/>
        <v>1</v>
      </c>
      <c r="P297" s="994"/>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4"/>
      <c r="E298" s="197">
        <f t="shared" si="75"/>
        <v>0</v>
      </c>
      <c r="F298" s="994"/>
      <c r="G298" s="197">
        <f t="shared" si="76"/>
        <v>1</v>
      </c>
      <c r="H298" s="994"/>
      <c r="I298" s="197">
        <f t="shared" si="77"/>
        <v>1</v>
      </c>
      <c r="J298" s="994"/>
      <c r="K298" s="197">
        <f t="shared" si="78"/>
        <v>1</v>
      </c>
      <c r="L298" s="994"/>
      <c r="M298" s="197">
        <f t="shared" si="79"/>
        <v>1</v>
      </c>
      <c r="N298" s="994"/>
      <c r="O298" s="197">
        <f t="shared" si="80"/>
        <v>1</v>
      </c>
      <c r="P298" s="994"/>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4"/>
      <c r="E299" s="197">
        <f t="shared" si="75"/>
        <v>0</v>
      </c>
      <c r="F299" s="994"/>
      <c r="G299" s="197">
        <f t="shared" si="76"/>
        <v>1</v>
      </c>
      <c r="H299" s="994"/>
      <c r="I299" s="197">
        <f t="shared" si="77"/>
        <v>1</v>
      </c>
      <c r="J299" s="994"/>
      <c r="K299" s="197">
        <f t="shared" si="78"/>
        <v>1</v>
      </c>
      <c r="L299" s="994"/>
      <c r="M299" s="197">
        <f t="shared" si="79"/>
        <v>1</v>
      </c>
      <c r="N299" s="994"/>
      <c r="O299" s="197">
        <f t="shared" si="80"/>
        <v>1</v>
      </c>
      <c r="P299" s="994"/>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4"/>
      <c r="E300" s="197">
        <f t="shared" si="75"/>
        <v>0</v>
      </c>
      <c r="F300" s="994"/>
      <c r="G300" s="197">
        <f t="shared" si="76"/>
        <v>1</v>
      </c>
      <c r="H300" s="994"/>
      <c r="I300" s="197">
        <f t="shared" si="77"/>
        <v>1</v>
      </c>
      <c r="J300" s="994"/>
      <c r="K300" s="197">
        <f t="shared" si="78"/>
        <v>1</v>
      </c>
      <c r="L300" s="994"/>
      <c r="M300" s="197">
        <f t="shared" si="79"/>
        <v>1</v>
      </c>
      <c r="N300" s="994"/>
      <c r="O300" s="197">
        <f t="shared" si="80"/>
        <v>1</v>
      </c>
      <c r="P300" s="994"/>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4"/>
      <c r="E301" s="197">
        <f t="shared" si="75"/>
        <v>0</v>
      </c>
      <c r="F301" s="994"/>
      <c r="G301" s="197">
        <f t="shared" si="76"/>
        <v>1</v>
      </c>
      <c r="H301" s="994"/>
      <c r="I301" s="197">
        <f t="shared" si="77"/>
        <v>1</v>
      </c>
      <c r="J301" s="994"/>
      <c r="K301" s="197">
        <f t="shared" si="78"/>
        <v>1</v>
      </c>
      <c r="L301" s="994"/>
      <c r="M301" s="197">
        <f t="shared" si="79"/>
        <v>1</v>
      </c>
      <c r="N301" s="994"/>
      <c r="O301" s="197">
        <f t="shared" si="80"/>
        <v>1</v>
      </c>
      <c r="P301" s="994"/>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4"/>
      <c r="E302" s="197">
        <f t="shared" si="75"/>
        <v>0</v>
      </c>
      <c r="F302" s="994"/>
      <c r="G302" s="197">
        <f t="shared" si="76"/>
        <v>1</v>
      </c>
      <c r="H302" s="994"/>
      <c r="I302" s="197">
        <f t="shared" si="77"/>
        <v>1</v>
      </c>
      <c r="J302" s="994"/>
      <c r="K302" s="197">
        <f t="shared" si="78"/>
        <v>1</v>
      </c>
      <c r="L302" s="994"/>
      <c r="M302" s="197">
        <f t="shared" si="79"/>
        <v>1</v>
      </c>
      <c r="N302" s="994"/>
      <c r="O302" s="197">
        <f t="shared" si="80"/>
        <v>1</v>
      </c>
      <c r="P302" s="994"/>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4"/>
      <c r="E303" s="197">
        <f t="shared" si="75"/>
        <v>0</v>
      </c>
      <c r="F303" s="994"/>
      <c r="G303" s="197">
        <f t="shared" si="76"/>
        <v>1</v>
      </c>
      <c r="H303" s="994"/>
      <c r="I303" s="197">
        <f t="shared" si="77"/>
        <v>1</v>
      </c>
      <c r="J303" s="994"/>
      <c r="K303" s="197">
        <f t="shared" si="78"/>
        <v>1</v>
      </c>
      <c r="L303" s="994"/>
      <c r="M303" s="197">
        <f t="shared" si="79"/>
        <v>1</v>
      </c>
      <c r="N303" s="994"/>
      <c r="O303" s="197">
        <f t="shared" si="80"/>
        <v>1</v>
      </c>
      <c r="P303" s="994"/>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4"/>
      <c r="E304" s="197">
        <f t="shared" si="75"/>
        <v>0</v>
      </c>
      <c r="F304" s="994"/>
      <c r="G304" s="197">
        <f t="shared" si="76"/>
        <v>1</v>
      </c>
      <c r="H304" s="994"/>
      <c r="I304" s="197">
        <f t="shared" si="77"/>
        <v>1</v>
      </c>
      <c r="J304" s="994"/>
      <c r="K304" s="197">
        <f t="shared" si="78"/>
        <v>1</v>
      </c>
      <c r="L304" s="994"/>
      <c r="M304" s="197">
        <f t="shared" si="79"/>
        <v>1</v>
      </c>
      <c r="N304" s="994"/>
      <c r="O304" s="197">
        <f t="shared" si="80"/>
        <v>1</v>
      </c>
      <c r="P304" s="994"/>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4"/>
      <c r="E305" s="197">
        <f t="shared" si="75"/>
        <v>0</v>
      </c>
      <c r="F305" s="994"/>
      <c r="G305" s="197">
        <f t="shared" si="76"/>
        <v>1</v>
      </c>
      <c r="H305" s="994"/>
      <c r="I305" s="197">
        <f t="shared" si="77"/>
        <v>1</v>
      </c>
      <c r="J305" s="994"/>
      <c r="K305" s="197">
        <f t="shared" si="78"/>
        <v>1</v>
      </c>
      <c r="L305" s="994"/>
      <c r="M305" s="197">
        <f t="shared" si="79"/>
        <v>1</v>
      </c>
      <c r="N305" s="994"/>
      <c r="O305" s="197">
        <f t="shared" si="80"/>
        <v>1</v>
      </c>
      <c r="P305" s="994"/>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4"/>
      <c r="E306" s="197">
        <f t="shared" si="75"/>
        <v>0</v>
      </c>
      <c r="F306" s="994"/>
      <c r="G306" s="197">
        <f t="shared" si="76"/>
        <v>1</v>
      </c>
      <c r="H306" s="994"/>
      <c r="I306" s="197">
        <f t="shared" si="77"/>
        <v>1</v>
      </c>
      <c r="J306" s="994"/>
      <c r="K306" s="197">
        <f t="shared" si="78"/>
        <v>1</v>
      </c>
      <c r="L306" s="994"/>
      <c r="M306" s="197">
        <f t="shared" si="79"/>
        <v>1</v>
      </c>
      <c r="N306" s="994"/>
      <c r="O306" s="197">
        <f t="shared" si="80"/>
        <v>1</v>
      </c>
      <c r="P306" s="994"/>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4"/>
      <c r="E307" s="197">
        <f t="shared" si="75"/>
        <v>0</v>
      </c>
      <c r="F307" s="994"/>
      <c r="G307" s="197">
        <f t="shared" si="76"/>
        <v>1</v>
      </c>
      <c r="H307" s="994"/>
      <c r="I307" s="197">
        <f t="shared" si="77"/>
        <v>1</v>
      </c>
      <c r="J307" s="994"/>
      <c r="K307" s="197">
        <f t="shared" si="78"/>
        <v>1</v>
      </c>
      <c r="L307" s="994"/>
      <c r="M307" s="197">
        <f t="shared" si="79"/>
        <v>1</v>
      </c>
      <c r="N307" s="994"/>
      <c r="O307" s="197">
        <f t="shared" si="80"/>
        <v>1</v>
      </c>
      <c r="P307" s="994"/>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4"/>
      <c r="E308" s="197">
        <f t="shared" si="75"/>
        <v>0</v>
      </c>
      <c r="F308" s="994"/>
      <c r="G308" s="197">
        <f t="shared" si="76"/>
        <v>1</v>
      </c>
      <c r="H308" s="994"/>
      <c r="I308" s="197">
        <f t="shared" si="77"/>
        <v>1</v>
      </c>
      <c r="J308" s="994"/>
      <c r="K308" s="197">
        <f t="shared" si="78"/>
        <v>1</v>
      </c>
      <c r="L308" s="994"/>
      <c r="M308" s="197">
        <f t="shared" si="79"/>
        <v>1</v>
      </c>
      <c r="N308" s="994"/>
      <c r="O308" s="197">
        <f t="shared" si="80"/>
        <v>1</v>
      </c>
      <c r="P308" s="994"/>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4"/>
      <c r="E309" s="197">
        <f t="shared" si="75"/>
        <v>0</v>
      </c>
      <c r="F309" s="994"/>
      <c r="G309" s="197">
        <f t="shared" si="76"/>
        <v>1</v>
      </c>
      <c r="H309" s="994"/>
      <c r="I309" s="197">
        <f t="shared" si="77"/>
        <v>1</v>
      </c>
      <c r="J309" s="994"/>
      <c r="K309" s="197">
        <f t="shared" si="78"/>
        <v>1</v>
      </c>
      <c r="L309" s="994"/>
      <c r="M309" s="197">
        <f t="shared" si="79"/>
        <v>1</v>
      </c>
      <c r="N309" s="994"/>
      <c r="O309" s="197">
        <f t="shared" si="80"/>
        <v>1</v>
      </c>
      <c r="P309" s="994"/>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4"/>
      <c r="E310" s="197">
        <f t="shared" si="75"/>
        <v>0</v>
      </c>
      <c r="F310" s="994"/>
      <c r="G310" s="197">
        <f t="shared" si="76"/>
        <v>1</v>
      </c>
      <c r="H310" s="994"/>
      <c r="I310" s="197">
        <f t="shared" si="77"/>
        <v>1</v>
      </c>
      <c r="J310" s="994"/>
      <c r="K310" s="197">
        <f t="shared" si="78"/>
        <v>1</v>
      </c>
      <c r="L310" s="994"/>
      <c r="M310" s="197">
        <f t="shared" si="79"/>
        <v>1</v>
      </c>
      <c r="N310" s="994"/>
      <c r="O310" s="197">
        <f t="shared" si="80"/>
        <v>1</v>
      </c>
      <c r="P310" s="994"/>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4"/>
      <c r="E311" s="197">
        <f t="shared" si="75"/>
        <v>0</v>
      </c>
      <c r="F311" s="994"/>
      <c r="G311" s="197">
        <f t="shared" si="76"/>
        <v>1</v>
      </c>
      <c r="H311" s="994"/>
      <c r="I311" s="197">
        <f t="shared" si="77"/>
        <v>1</v>
      </c>
      <c r="J311" s="994"/>
      <c r="K311" s="197">
        <f t="shared" si="78"/>
        <v>1</v>
      </c>
      <c r="L311" s="994"/>
      <c r="M311" s="197">
        <f t="shared" si="79"/>
        <v>1</v>
      </c>
      <c r="N311" s="994"/>
      <c r="O311" s="197">
        <f t="shared" si="80"/>
        <v>1</v>
      </c>
      <c r="P311" s="994"/>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4"/>
      <c r="E312" s="197">
        <f t="shared" si="75"/>
        <v>0</v>
      </c>
      <c r="F312" s="994"/>
      <c r="G312" s="197">
        <f t="shared" si="76"/>
        <v>1</v>
      </c>
      <c r="H312" s="994"/>
      <c r="I312" s="197">
        <f t="shared" si="77"/>
        <v>1</v>
      </c>
      <c r="J312" s="994"/>
      <c r="K312" s="197">
        <f t="shared" si="78"/>
        <v>1</v>
      </c>
      <c r="L312" s="994"/>
      <c r="M312" s="197">
        <f t="shared" si="79"/>
        <v>1</v>
      </c>
      <c r="N312" s="994"/>
      <c r="O312" s="197">
        <f t="shared" si="80"/>
        <v>1</v>
      </c>
      <c r="P312" s="994"/>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4"/>
      <c r="E313" s="197">
        <f t="shared" si="75"/>
        <v>0</v>
      </c>
      <c r="F313" s="994"/>
      <c r="G313" s="197">
        <f t="shared" si="76"/>
        <v>1</v>
      </c>
      <c r="H313" s="994"/>
      <c r="I313" s="197">
        <f t="shared" si="77"/>
        <v>1</v>
      </c>
      <c r="J313" s="994"/>
      <c r="K313" s="197">
        <f t="shared" si="78"/>
        <v>1</v>
      </c>
      <c r="L313" s="994"/>
      <c r="M313" s="197">
        <f t="shared" si="79"/>
        <v>1</v>
      </c>
      <c r="N313" s="994"/>
      <c r="O313" s="197">
        <f t="shared" si="80"/>
        <v>1</v>
      </c>
      <c r="P313" s="994"/>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4"/>
      <c r="E314" s="197">
        <f t="shared" si="75"/>
        <v>0</v>
      </c>
      <c r="F314" s="994"/>
      <c r="G314" s="197">
        <f t="shared" si="76"/>
        <v>1</v>
      </c>
      <c r="H314" s="994"/>
      <c r="I314" s="197">
        <f t="shared" si="77"/>
        <v>1</v>
      </c>
      <c r="J314" s="994"/>
      <c r="K314" s="197">
        <f t="shared" si="78"/>
        <v>1</v>
      </c>
      <c r="L314" s="994"/>
      <c r="M314" s="197">
        <f t="shared" si="79"/>
        <v>1</v>
      </c>
      <c r="N314" s="994"/>
      <c r="O314" s="197">
        <f t="shared" si="80"/>
        <v>1</v>
      </c>
      <c r="P314" s="994"/>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4"/>
      <c r="E315" s="197">
        <f t="shared" si="75"/>
        <v>0</v>
      </c>
      <c r="F315" s="994"/>
      <c r="G315" s="197">
        <f t="shared" si="76"/>
        <v>1</v>
      </c>
      <c r="H315" s="994"/>
      <c r="I315" s="197">
        <f t="shared" si="77"/>
        <v>1</v>
      </c>
      <c r="J315" s="994"/>
      <c r="K315" s="197">
        <f t="shared" si="78"/>
        <v>1</v>
      </c>
      <c r="L315" s="994"/>
      <c r="M315" s="197">
        <f t="shared" si="79"/>
        <v>1</v>
      </c>
      <c r="N315" s="994"/>
      <c r="O315" s="197">
        <f t="shared" si="80"/>
        <v>1</v>
      </c>
      <c r="P315" s="994"/>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4"/>
      <c r="E316" s="197">
        <f t="shared" si="75"/>
        <v>0</v>
      </c>
      <c r="F316" s="994"/>
      <c r="G316" s="197">
        <f t="shared" si="76"/>
        <v>1</v>
      </c>
      <c r="H316" s="994"/>
      <c r="I316" s="197">
        <f t="shared" si="77"/>
        <v>1</v>
      </c>
      <c r="J316" s="994"/>
      <c r="K316" s="197">
        <f t="shared" si="78"/>
        <v>1</v>
      </c>
      <c r="L316" s="994"/>
      <c r="M316" s="197">
        <f t="shared" si="79"/>
        <v>1</v>
      </c>
      <c r="N316" s="994"/>
      <c r="O316" s="197">
        <f t="shared" si="80"/>
        <v>1</v>
      </c>
      <c r="P316" s="994"/>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4"/>
      <c r="E317" s="197">
        <f t="shared" si="75"/>
        <v>0</v>
      </c>
      <c r="F317" s="994"/>
      <c r="G317" s="197">
        <f t="shared" si="76"/>
        <v>1</v>
      </c>
      <c r="H317" s="994"/>
      <c r="I317" s="197">
        <f t="shared" si="77"/>
        <v>1</v>
      </c>
      <c r="J317" s="994"/>
      <c r="K317" s="197">
        <f t="shared" si="78"/>
        <v>1</v>
      </c>
      <c r="L317" s="994"/>
      <c r="M317" s="197">
        <f t="shared" si="79"/>
        <v>1</v>
      </c>
      <c r="N317" s="994"/>
      <c r="O317" s="197">
        <f t="shared" si="80"/>
        <v>1</v>
      </c>
      <c r="P317" s="994"/>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4"/>
      <c r="E318" s="197">
        <f t="shared" si="75"/>
        <v>0</v>
      </c>
      <c r="F318" s="994"/>
      <c r="G318" s="197">
        <f t="shared" si="76"/>
        <v>1</v>
      </c>
      <c r="H318" s="994"/>
      <c r="I318" s="197">
        <f t="shared" si="77"/>
        <v>1</v>
      </c>
      <c r="J318" s="994"/>
      <c r="K318" s="197">
        <f t="shared" si="78"/>
        <v>1</v>
      </c>
      <c r="L318" s="994"/>
      <c r="M318" s="197">
        <f t="shared" si="79"/>
        <v>1</v>
      </c>
      <c r="N318" s="994"/>
      <c r="O318" s="197">
        <f t="shared" si="80"/>
        <v>1</v>
      </c>
      <c r="P318" s="994"/>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4"/>
      <c r="E319" s="197">
        <f t="shared" si="75"/>
        <v>0</v>
      </c>
      <c r="F319" s="994"/>
      <c r="G319" s="197">
        <f t="shared" si="76"/>
        <v>1</v>
      </c>
      <c r="H319" s="994"/>
      <c r="I319" s="197">
        <f t="shared" si="77"/>
        <v>1</v>
      </c>
      <c r="J319" s="994"/>
      <c r="K319" s="197">
        <f t="shared" si="78"/>
        <v>1</v>
      </c>
      <c r="L319" s="994"/>
      <c r="M319" s="197">
        <f t="shared" si="79"/>
        <v>1</v>
      </c>
      <c r="N319" s="994"/>
      <c r="O319" s="197">
        <f t="shared" si="80"/>
        <v>1</v>
      </c>
      <c r="P319" s="994"/>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4"/>
      <c r="E320" s="197">
        <f t="shared" si="75"/>
        <v>0</v>
      </c>
      <c r="F320" s="994"/>
      <c r="G320" s="197">
        <f t="shared" si="76"/>
        <v>1</v>
      </c>
      <c r="H320" s="994"/>
      <c r="I320" s="197">
        <f t="shared" si="77"/>
        <v>1</v>
      </c>
      <c r="J320" s="994"/>
      <c r="K320" s="197">
        <f t="shared" si="78"/>
        <v>1</v>
      </c>
      <c r="L320" s="994"/>
      <c r="M320" s="197">
        <f t="shared" si="79"/>
        <v>1</v>
      </c>
      <c r="N320" s="994"/>
      <c r="O320" s="197">
        <f t="shared" si="80"/>
        <v>1</v>
      </c>
      <c r="P320" s="994"/>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4"/>
      <c r="E321" s="197">
        <f t="shared" si="75"/>
        <v>0</v>
      </c>
      <c r="F321" s="994"/>
      <c r="G321" s="197">
        <f t="shared" si="76"/>
        <v>1</v>
      </c>
      <c r="H321" s="994"/>
      <c r="I321" s="197">
        <f t="shared" si="77"/>
        <v>1</v>
      </c>
      <c r="J321" s="994"/>
      <c r="K321" s="197">
        <f t="shared" si="78"/>
        <v>1</v>
      </c>
      <c r="L321" s="994"/>
      <c r="M321" s="197">
        <f t="shared" si="79"/>
        <v>1</v>
      </c>
      <c r="N321" s="994"/>
      <c r="O321" s="197">
        <f t="shared" si="80"/>
        <v>1</v>
      </c>
      <c r="P321" s="994"/>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4"/>
      <c r="E322" s="197">
        <f t="shared" si="75"/>
        <v>0</v>
      </c>
      <c r="F322" s="994"/>
      <c r="G322" s="197">
        <f t="shared" si="76"/>
        <v>1</v>
      </c>
      <c r="H322" s="994"/>
      <c r="I322" s="197">
        <f t="shared" si="77"/>
        <v>1</v>
      </c>
      <c r="J322" s="994"/>
      <c r="K322" s="197">
        <f t="shared" si="78"/>
        <v>1</v>
      </c>
      <c r="L322" s="994"/>
      <c r="M322" s="197">
        <f t="shared" si="79"/>
        <v>1</v>
      </c>
      <c r="N322" s="994"/>
      <c r="O322" s="197">
        <f t="shared" si="80"/>
        <v>1</v>
      </c>
      <c r="P322" s="994"/>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4"/>
      <c r="E323" s="197">
        <f t="shared" si="75"/>
        <v>0</v>
      </c>
      <c r="F323" s="994"/>
      <c r="G323" s="197">
        <f t="shared" si="76"/>
        <v>1</v>
      </c>
      <c r="H323" s="994"/>
      <c r="I323" s="197">
        <f t="shared" si="77"/>
        <v>1</v>
      </c>
      <c r="J323" s="994"/>
      <c r="K323" s="197">
        <f t="shared" si="78"/>
        <v>1</v>
      </c>
      <c r="L323" s="994"/>
      <c r="M323" s="197">
        <f t="shared" si="79"/>
        <v>1</v>
      </c>
      <c r="N323" s="994"/>
      <c r="O323" s="197">
        <f t="shared" si="80"/>
        <v>1</v>
      </c>
      <c r="P323" s="994"/>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4"/>
      <c r="E324" s="197">
        <f t="shared" si="75"/>
        <v>0</v>
      </c>
      <c r="F324" s="994"/>
      <c r="G324" s="197">
        <f t="shared" si="76"/>
        <v>1</v>
      </c>
      <c r="H324" s="994"/>
      <c r="I324" s="197">
        <f t="shared" si="77"/>
        <v>1</v>
      </c>
      <c r="J324" s="994"/>
      <c r="K324" s="197">
        <f t="shared" si="78"/>
        <v>1</v>
      </c>
      <c r="L324" s="994"/>
      <c r="M324" s="197">
        <f t="shared" si="79"/>
        <v>1</v>
      </c>
      <c r="N324" s="994"/>
      <c r="O324" s="197">
        <f t="shared" si="80"/>
        <v>1</v>
      </c>
      <c r="P324" s="994"/>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4"/>
      <c r="E325" s="197">
        <f t="shared" si="75"/>
        <v>0</v>
      </c>
      <c r="F325" s="994"/>
      <c r="G325" s="197">
        <f t="shared" si="76"/>
        <v>1</v>
      </c>
      <c r="H325" s="994"/>
      <c r="I325" s="197">
        <f t="shared" si="77"/>
        <v>1</v>
      </c>
      <c r="J325" s="994"/>
      <c r="K325" s="197">
        <f t="shared" si="78"/>
        <v>1</v>
      </c>
      <c r="L325" s="994"/>
      <c r="M325" s="197">
        <f t="shared" si="79"/>
        <v>1</v>
      </c>
      <c r="N325" s="994"/>
      <c r="O325" s="197">
        <f t="shared" si="80"/>
        <v>1</v>
      </c>
      <c r="P325" s="994"/>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4"/>
      <c r="E326" s="197">
        <f t="shared" si="75"/>
        <v>0</v>
      </c>
      <c r="F326" s="994"/>
      <c r="G326" s="197">
        <f t="shared" si="76"/>
        <v>1</v>
      </c>
      <c r="H326" s="994"/>
      <c r="I326" s="197">
        <f t="shared" si="77"/>
        <v>1</v>
      </c>
      <c r="J326" s="994"/>
      <c r="K326" s="197">
        <f t="shared" si="78"/>
        <v>1</v>
      </c>
      <c r="L326" s="994"/>
      <c r="M326" s="197">
        <f t="shared" si="79"/>
        <v>1</v>
      </c>
      <c r="N326" s="994"/>
      <c r="O326" s="197">
        <f t="shared" si="80"/>
        <v>1</v>
      </c>
      <c r="P326" s="994"/>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4"/>
      <c r="E327" s="197">
        <f t="shared" si="75"/>
        <v>0</v>
      </c>
      <c r="F327" s="994"/>
      <c r="G327" s="197">
        <f t="shared" si="76"/>
        <v>1</v>
      </c>
      <c r="H327" s="994"/>
      <c r="I327" s="197">
        <f t="shared" si="77"/>
        <v>1</v>
      </c>
      <c r="J327" s="994"/>
      <c r="K327" s="197">
        <f t="shared" si="78"/>
        <v>1</v>
      </c>
      <c r="L327" s="994"/>
      <c r="M327" s="197">
        <f t="shared" si="79"/>
        <v>1</v>
      </c>
      <c r="N327" s="994"/>
      <c r="O327" s="197">
        <f t="shared" si="80"/>
        <v>1</v>
      </c>
      <c r="P327" s="994"/>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4"/>
      <c r="E328" s="197">
        <f t="shared" si="75"/>
        <v>0</v>
      </c>
      <c r="F328" s="994"/>
      <c r="G328" s="197">
        <f t="shared" si="76"/>
        <v>1</v>
      </c>
      <c r="H328" s="994"/>
      <c r="I328" s="197">
        <f t="shared" si="77"/>
        <v>1</v>
      </c>
      <c r="J328" s="994"/>
      <c r="K328" s="197">
        <f t="shared" si="78"/>
        <v>1</v>
      </c>
      <c r="L328" s="994"/>
      <c r="M328" s="197">
        <f t="shared" si="79"/>
        <v>1</v>
      </c>
      <c r="N328" s="994"/>
      <c r="O328" s="197">
        <f t="shared" si="80"/>
        <v>1</v>
      </c>
      <c r="P328" s="994"/>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4"/>
      <c r="E329" s="197">
        <f t="shared" si="75"/>
        <v>0</v>
      </c>
      <c r="F329" s="994"/>
      <c r="G329" s="197">
        <f t="shared" si="76"/>
        <v>1</v>
      </c>
      <c r="H329" s="994"/>
      <c r="I329" s="197">
        <f t="shared" si="77"/>
        <v>1</v>
      </c>
      <c r="J329" s="994"/>
      <c r="K329" s="197">
        <f t="shared" si="78"/>
        <v>1</v>
      </c>
      <c r="L329" s="994"/>
      <c r="M329" s="197">
        <f t="shared" si="79"/>
        <v>1</v>
      </c>
      <c r="N329" s="994"/>
      <c r="O329" s="197">
        <f t="shared" si="80"/>
        <v>1</v>
      </c>
      <c r="P329" s="994"/>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4"/>
      <c r="E330" s="197">
        <f t="shared" si="75"/>
        <v>0</v>
      </c>
      <c r="F330" s="994"/>
      <c r="G330" s="197">
        <f t="shared" si="76"/>
        <v>1</v>
      </c>
      <c r="H330" s="994"/>
      <c r="I330" s="197">
        <f t="shared" si="77"/>
        <v>1</v>
      </c>
      <c r="J330" s="994"/>
      <c r="K330" s="197">
        <f t="shared" si="78"/>
        <v>1</v>
      </c>
      <c r="L330" s="994"/>
      <c r="M330" s="197">
        <f t="shared" si="79"/>
        <v>1</v>
      </c>
      <c r="N330" s="994"/>
      <c r="O330" s="197">
        <f t="shared" si="80"/>
        <v>1</v>
      </c>
      <c r="P330" s="994"/>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4"/>
      <c r="E331" s="197">
        <f t="shared" si="75"/>
        <v>0</v>
      </c>
      <c r="F331" s="994"/>
      <c r="G331" s="197">
        <f t="shared" si="76"/>
        <v>1</v>
      </c>
      <c r="H331" s="994"/>
      <c r="I331" s="197">
        <f t="shared" si="77"/>
        <v>1</v>
      </c>
      <c r="J331" s="994"/>
      <c r="K331" s="197">
        <f t="shared" si="78"/>
        <v>1</v>
      </c>
      <c r="L331" s="994"/>
      <c r="M331" s="197">
        <f t="shared" si="79"/>
        <v>1</v>
      </c>
      <c r="N331" s="994"/>
      <c r="O331" s="197">
        <f t="shared" si="80"/>
        <v>1</v>
      </c>
      <c r="P331" s="994"/>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4"/>
      <c r="E332" s="197">
        <f t="shared" si="75"/>
        <v>0</v>
      </c>
      <c r="F332" s="994"/>
      <c r="G332" s="197">
        <f t="shared" si="76"/>
        <v>1</v>
      </c>
      <c r="H332" s="994"/>
      <c r="I332" s="197">
        <f t="shared" si="77"/>
        <v>1</v>
      </c>
      <c r="J332" s="994"/>
      <c r="K332" s="197">
        <f t="shared" si="78"/>
        <v>1</v>
      </c>
      <c r="L332" s="994"/>
      <c r="M332" s="197">
        <f t="shared" si="79"/>
        <v>1</v>
      </c>
      <c r="N332" s="994"/>
      <c r="O332" s="197">
        <f t="shared" si="80"/>
        <v>1</v>
      </c>
      <c r="P332" s="994"/>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4"/>
      <c r="E333" s="197">
        <f t="shared" si="75"/>
        <v>0</v>
      </c>
      <c r="F333" s="994"/>
      <c r="G333" s="197">
        <f t="shared" si="76"/>
        <v>1</v>
      </c>
      <c r="H333" s="994"/>
      <c r="I333" s="197">
        <f t="shared" si="77"/>
        <v>1</v>
      </c>
      <c r="J333" s="994"/>
      <c r="K333" s="197">
        <f t="shared" si="78"/>
        <v>1</v>
      </c>
      <c r="L333" s="994"/>
      <c r="M333" s="197">
        <f t="shared" si="79"/>
        <v>1</v>
      </c>
      <c r="N333" s="994"/>
      <c r="O333" s="197">
        <f t="shared" si="80"/>
        <v>1</v>
      </c>
      <c r="P333" s="994"/>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4"/>
      <c r="E334" s="197">
        <f t="shared" si="75"/>
        <v>0</v>
      </c>
      <c r="F334" s="994"/>
      <c r="G334" s="197">
        <f t="shared" si="76"/>
        <v>1</v>
      </c>
      <c r="H334" s="994"/>
      <c r="I334" s="197">
        <f t="shared" si="77"/>
        <v>1</v>
      </c>
      <c r="J334" s="994"/>
      <c r="K334" s="197">
        <f t="shared" si="78"/>
        <v>1</v>
      </c>
      <c r="L334" s="994"/>
      <c r="M334" s="197">
        <f t="shared" si="79"/>
        <v>1</v>
      </c>
      <c r="N334" s="994"/>
      <c r="O334" s="197">
        <f t="shared" si="80"/>
        <v>1</v>
      </c>
      <c r="P334" s="994"/>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4"/>
      <c r="E335" s="197">
        <f t="shared" si="75"/>
        <v>0</v>
      </c>
      <c r="F335" s="994"/>
      <c r="G335" s="197">
        <f t="shared" si="76"/>
        <v>1</v>
      </c>
      <c r="H335" s="994"/>
      <c r="I335" s="197">
        <f t="shared" si="77"/>
        <v>1</v>
      </c>
      <c r="J335" s="994"/>
      <c r="K335" s="197">
        <f t="shared" si="78"/>
        <v>1</v>
      </c>
      <c r="L335" s="994"/>
      <c r="M335" s="197">
        <f t="shared" si="79"/>
        <v>1</v>
      </c>
      <c r="N335" s="994"/>
      <c r="O335" s="197">
        <f t="shared" si="80"/>
        <v>1</v>
      </c>
      <c r="P335" s="994"/>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4"/>
      <c r="E336" s="197">
        <f t="shared" si="75"/>
        <v>0</v>
      </c>
      <c r="F336" s="994"/>
      <c r="G336" s="197">
        <f t="shared" si="76"/>
        <v>1</v>
      </c>
      <c r="H336" s="994"/>
      <c r="I336" s="197">
        <f t="shared" si="77"/>
        <v>1</v>
      </c>
      <c r="J336" s="994"/>
      <c r="K336" s="197">
        <f t="shared" si="78"/>
        <v>1</v>
      </c>
      <c r="L336" s="994"/>
      <c r="M336" s="197">
        <f t="shared" si="79"/>
        <v>1</v>
      </c>
      <c r="N336" s="994"/>
      <c r="O336" s="197">
        <f t="shared" si="80"/>
        <v>1</v>
      </c>
      <c r="P336" s="994"/>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4"/>
      <c r="E337" s="197">
        <f t="shared" si="75"/>
        <v>0</v>
      </c>
      <c r="F337" s="994"/>
      <c r="G337" s="197">
        <f t="shared" si="76"/>
        <v>1</v>
      </c>
      <c r="H337" s="994"/>
      <c r="I337" s="197">
        <f t="shared" si="77"/>
        <v>1</v>
      </c>
      <c r="J337" s="994"/>
      <c r="K337" s="197">
        <f t="shared" si="78"/>
        <v>1</v>
      </c>
      <c r="L337" s="994"/>
      <c r="M337" s="197">
        <f t="shared" si="79"/>
        <v>1</v>
      </c>
      <c r="N337" s="994"/>
      <c r="O337" s="197">
        <f t="shared" si="80"/>
        <v>1</v>
      </c>
      <c r="P337" s="994"/>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4"/>
      <c r="E338" s="197">
        <f t="shared" si="75"/>
        <v>0</v>
      </c>
      <c r="F338" s="994"/>
      <c r="G338" s="197">
        <f t="shared" si="76"/>
        <v>1</v>
      </c>
      <c r="H338" s="994"/>
      <c r="I338" s="197">
        <f t="shared" si="77"/>
        <v>1</v>
      </c>
      <c r="J338" s="994"/>
      <c r="K338" s="197">
        <f t="shared" si="78"/>
        <v>1</v>
      </c>
      <c r="L338" s="994"/>
      <c r="M338" s="197">
        <f t="shared" si="79"/>
        <v>1</v>
      </c>
      <c r="N338" s="994"/>
      <c r="O338" s="197">
        <f t="shared" si="80"/>
        <v>1</v>
      </c>
      <c r="P338" s="994"/>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4"/>
      <c r="E339" s="197">
        <f t="shared" si="75"/>
        <v>0</v>
      </c>
      <c r="F339" s="994"/>
      <c r="G339" s="197">
        <f t="shared" si="76"/>
        <v>1</v>
      </c>
      <c r="H339" s="994"/>
      <c r="I339" s="197">
        <f t="shared" si="77"/>
        <v>1</v>
      </c>
      <c r="J339" s="994"/>
      <c r="K339" s="197">
        <f t="shared" si="78"/>
        <v>1</v>
      </c>
      <c r="L339" s="994"/>
      <c r="M339" s="197">
        <f t="shared" si="79"/>
        <v>1</v>
      </c>
      <c r="N339" s="994"/>
      <c r="O339" s="197">
        <f t="shared" si="80"/>
        <v>1</v>
      </c>
      <c r="P339" s="994"/>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4"/>
      <c r="E340" s="197">
        <f t="shared" si="75"/>
        <v>0</v>
      </c>
      <c r="F340" s="994"/>
      <c r="G340" s="197">
        <f t="shared" si="76"/>
        <v>1</v>
      </c>
      <c r="H340" s="994"/>
      <c r="I340" s="197">
        <f t="shared" si="77"/>
        <v>1</v>
      </c>
      <c r="J340" s="994"/>
      <c r="K340" s="197">
        <f t="shared" si="78"/>
        <v>1</v>
      </c>
      <c r="L340" s="994"/>
      <c r="M340" s="197">
        <f t="shared" si="79"/>
        <v>1</v>
      </c>
      <c r="N340" s="994"/>
      <c r="O340" s="197">
        <f t="shared" si="80"/>
        <v>1</v>
      </c>
      <c r="P340" s="994"/>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4"/>
      <c r="E341" s="197">
        <f t="shared" si="75"/>
        <v>0</v>
      </c>
      <c r="F341" s="994"/>
      <c r="G341" s="197">
        <f t="shared" si="76"/>
        <v>1</v>
      </c>
      <c r="H341" s="994"/>
      <c r="I341" s="197">
        <f t="shared" si="77"/>
        <v>1</v>
      </c>
      <c r="J341" s="994"/>
      <c r="K341" s="197">
        <f t="shared" si="78"/>
        <v>1</v>
      </c>
      <c r="L341" s="994"/>
      <c r="M341" s="197">
        <f t="shared" si="79"/>
        <v>1</v>
      </c>
      <c r="N341" s="994"/>
      <c r="O341" s="197">
        <f t="shared" si="80"/>
        <v>1</v>
      </c>
      <c r="P341" s="994"/>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4"/>
      <c r="E342" s="197">
        <f t="shared" si="75"/>
        <v>0</v>
      </c>
      <c r="F342" s="994"/>
      <c r="G342" s="197">
        <f t="shared" si="76"/>
        <v>1</v>
      </c>
      <c r="H342" s="994"/>
      <c r="I342" s="197">
        <f t="shared" si="77"/>
        <v>1</v>
      </c>
      <c r="J342" s="994"/>
      <c r="K342" s="197">
        <f t="shared" si="78"/>
        <v>1</v>
      </c>
      <c r="L342" s="994"/>
      <c r="M342" s="197">
        <f t="shared" si="79"/>
        <v>1</v>
      </c>
      <c r="N342" s="994"/>
      <c r="O342" s="197">
        <f t="shared" si="80"/>
        <v>1</v>
      </c>
      <c r="P342" s="994"/>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4"/>
      <c r="E343" s="197">
        <f t="shared" si="75"/>
        <v>0</v>
      </c>
      <c r="F343" s="994"/>
      <c r="G343" s="197">
        <f t="shared" si="76"/>
        <v>1</v>
      </c>
      <c r="H343" s="994"/>
      <c r="I343" s="197">
        <f t="shared" si="77"/>
        <v>1</v>
      </c>
      <c r="J343" s="994"/>
      <c r="K343" s="197">
        <f t="shared" si="78"/>
        <v>1</v>
      </c>
      <c r="L343" s="994"/>
      <c r="M343" s="197">
        <f t="shared" si="79"/>
        <v>1</v>
      </c>
      <c r="N343" s="994"/>
      <c r="O343" s="197">
        <f t="shared" si="80"/>
        <v>1</v>
      </c>
      <c r="P343" s="994"/>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4"/>
      <c r="E344" s="197">
        <f t="shared" si="75"/>
        <v>0</v>
      </c>
      <c r="F344" s="994"/>
      <c r="G344" s="197">
        <f t="shared" si="76"/>
        <v>1</v>
      </c>
      <c r="H344" s="994"/>
      <c r="I344" s="197">
        <f t="shared" si="77"/>
        <v>1</v>
      </c>
      <c r="J344" s="994"/>
      <c r="K344" s="197">
        <f t="shared" si="78"/>
        <v>1</v>
      </c>
      <c r="L344" s="994"/>
      <c r="M344" s="197">
        <f t="shared" si="79"/>
        <v>1</v>
      </c>
      <c r="N344" s="994"/>
      <c r="O344" s="197">
        <f t="shared" si="80"/>
        <v>1</v>
      </c>
      <c r="P344" s="994"/>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4"/>
      <c r="E345" s="197">
        <f t="shared" si="75"/>
        <v>0</v>
      </c>
      <c r="F345" s="994"/>
      <c r="G345" s="197">
        <f t="shared" si="76"/>
        <v>1</v>
      </c>
      <c r="H345" s="994"/>
      <c r="I345" s="197">
        <f t="shared" si="77"/>
        <v>1</v>
      </c>
      <c r="J345" s="994"/>
      <c r="K345" s="197">
        <f t="shared" si="78"/>
        <v>1</v>
      </c>
      <c r="L345" s="994"/>
      <c r="M345" s="197">
        <f t="shared" si="79"/>
        <v>1</v>
      </c>
      <c r="N345" s="994"/>
      <c r="O345" s="197">
        <f t="shared" si="80"/>
        <v>1</v>
      </c>
      <c r="P345" s="994"/>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4"/>
      <c r="E346" s="197">
        <f t="shared" si="75"/>
        <v>0</v>
      </c>
      <c r="F346" s="994"/>
      <c r="G346" s="197">
        <f t="shared" si="76"/>
        <v>1</v>
      </c>
      <c r="H346" s="994"/>
      <c r="I346" s="197">
        <f t="shared" si="77"/>
        <v>1</v>
      </c>
      <c r="J346" s="994"/>
      <c r="K346" s="197">
        <f t="shared" si="78"/>
        <v>1</v>
      </c>
      <c r="L346" s="994"/>
      <c r="M346" s="197">
        <f t="shared" si="79"/>
        <v>1</v>
      </c>
      <c r="N346" s="994"/>
      <c r="O346" s="197">
        <f t="shared" si="80"/>
        <v>1</v>
      </c>
      <c r="P346" s="994"/>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4"/>
      <c r="E347" s="197">
        <f t="shared" si="75"/>
        <v>0</v>
      </c>
      <c r="F347" s="994"/>
      <c r="G347" s="197">
        <f t="shared" si="76"/>
        <v>1</v>
      </c>
      <c r="H347" s="994"/>
      <c r="I347" s="197">
        <f t="shared" si="77"/>
        <v>1</v>
      </c>
      <c r="J347" s="994"/>
      <c r="K347" s="197">
        <f t="shared" si="78"/>
        <v>1</v>
      </c>
      <c r="L347" s="994"/>
      <c r="M347" s="197">
        <f t="shared" si="79"/>
        <v>1</v>
      </c>
      <c r="N347" s="994"/>
      <c r="O347" s="197">
        <f t="shared" si="80"/>
        <v>1</v>
      </c>
      <c r="P347" s="994"/>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4"/>
      <c r="E348" s="197">
        <f t="shared" ref="E348:E411" si="90">(SUMIF($8:$8,D348,$9:$9)-SUMIF($8:$8,$D$27,$9:$9)+100)/100</f>
        <v>0</v>
      </c>
      <c r="F348" s="994"/>
      <c r="G348" s="197">
        <f t="shared" ref="G348:G411" si="91">(SUMIF($10:$10,F348,$11:$11)-SUMIF($10:$10,$F$27,$11:$11)+100)/100</f>
        <v>1</v>
      </c>
      <c r="H348" s="994"/>
      <c r="I348" s="197">
        <f t="shared" ref="I348:I411" si="92">(SUMIF($12:$12,H348,$13:$13)-SUMIF($12:$12,$H$27,$13:$13)+100)/100</f>
        <v>1</v>
      </c>
      <c r="J348" s="994"/>
      <c r="K348" s="197">
        <f t="shared" ref="K348:K411" si="93">(SUMIF($14:$14,J348,$15:$15)-SUMIF($14:$14,$J$27,$15:$15)+100)/100</f>
        <v>1</v>
      </c>
      <c r="L348" s="994"/>
      <c r="M348" s="197">
        <f t="shared" ref="M348:M411" si="94">(SUMIF($16:$16,L348,$17:$17)-SUMIF($16:$16,$L$27,$17:$17)+100)/100</f>
        <v>1</v>
      </c>
      <c r="N348" s="994"/>
      <c r="O348" s="197">
        <f t="shared" ref="O348:O411" si="95">(SUMIF($18:$18,N348,$19:$19)-SUMIF($18:$18,$N$27,$19:$19)+100)/100</f>
        <v>1</v>
      </c>
      <c r="P348" s="994"/>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4"/>
      <c r="E349" s="197">
        <f t="shared" si="90"/>
        <v>0</v>
      </c>
      <c r="F349" s="994"/>
      <c r="G349" s="197">
        <f t="shared" si="91"/>
        <v>1</v>
      </c>
      <c r="H349" s="994"/>
      <c r="I349" s="197">
        <f t="shared" si="92"/>
        <v>1</v>
      </c>
      <c r="J349" s="994"/>
      <c r="K349" s="197">
        <f t="shared" si="93"/>
        <v>1</v>
      </c>
      <c r="L349" s="994"/>
      <c r="M349" s="197">
        <f t="shared" si="94"/>
        <v>1</v>
      </c>
      <c r="N349" s="994"/>
      <c r="O349" s="197">
        <f t="shared" si="95"/>
        <v>1</v>
      </c>
      <c r="P349" s="994"/>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4"/>
      <c r="E350" s="197">
        <f t="shared" si="90"/>
        <v>0</v>
      </c>
      <c r="F350" s="994"/>
      <c r="G350" s="197">
        <f t="shared" si="91"/>
        <v>1</v>
      </c>
      <c r="H350" s="994"/>
      <c r="I350" s="197">
        <f t="shared" si="92"/>
        <v>1</v>
      </c>
      <c r="J350" s="994"/>
      <c r="K350" s="197">
        <f t="shared" si="93"/>
        <v>1</v>
      </c>
      <c r="L350" s="994"/>
      <c r="M350" s="197">
        <f t="shared" si="94"/>
        <v>1</v>
      </c>
      <c r="N350" s="994"/>
      <c r="O350" s="197">
        <f t="shared" si="95"/>
        <v>1</v>
      </c>
      <c r="P350" s="994"/>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4"/>
      <c r="E351" s="197">
        <f t="shared" si="90"/>
        <v>0</v>
      </c>
      <c r="F351" s="994"/>
      <c r="G351" s="197">
        <f t="shared" si="91"/>
        <v>1</v>
      </c>
      <c r="H351" s="994"/>
      <c r="I351" s="197">
        <f t="shared" si="92"/>
        <v>1</v>
      </c>
      <c r="J351" s="994"/>
      <c r="K351" s="197">
        <f t="shared" si="93"/>
        <v>1</v>
      </c>
      <c r="L351" s="994"/>
      <c r="M351" s="197">
        <f t="shared" si="94"/>
        <v>1</v>
      </c>
      <c r="N351" s="994"/>
      <c r="O351" s="197">
        <f t="shared" si="95"/>
        <v>1</v>
      </c>
      <c r="P351" s="994"/>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4"/>
      <c r="E352" s="197">
        <f t="shared" si="90"/>
        <v>0</v>
      </c>
      <c r="F352" s="994"/>
      <c r="G352" s="197">
        <f t="shared" si="91"/>
        <v>1</v>
      </c>
      <c r="H352" s="994"/>
      <c r="I352" s="197">
        <f t="shared" si="92"/>
        <v>1</v>
      </c>
      <c r="J352" s="994"/>
      <c r="K352" s="197">
        <f t="shared" si="93"/>
        <v>1</v>
      </c>
      <c r="L352" s="994"/>
      <c r="M352" s="197">
        <f t="shared" si="94"/>
        <v>1</v>
      </c>
      <c r="N352" s="994"/>
      <c r="O352" s="197">
        <f t="shared" si="95"/>
        <v>1</v>
      </c>
      <c r="P352" s="994"/>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4"/>
      <c r="E353" s="197">
        <f t="shared" si="90"/>
        <v>0</v>
      </c>
      <c r="F353" s="994"/>
      <c r="G353" s="197">
        <f t="shared" si="91"/>
        <v>1</v>
      </c>
      <c r="H353" s="994"/>
      <c r="I353" s="197">
        <f t="shared" si="92"/>
        <v>1</v>
      </c>
      <c r="J353" s="994"/>
      <c r="K353" s="197">
        <f t="shared" si="93"/>
        <v>1</v>
      </c>
      <c r="L353" s="994"/>
      <c r="M353" s="197">
        <f t="shared" si="94"/>
        <v>1</v>
      </c>
      <c r="N353" s="994"/>
      <c r="O353" s="197">
        <f t="shared" si="95"/>
        <v>1</v>
      </c>
      <c r="P353" s="994"/>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4"/>
      <c r="E354" s="197">
        <f t="shared" si="90"/>
        <v>0</v>
      </c>
      <c r="F354" s="994"/>
      <c r="G354" s="197">
        <f t="shared" si="91"/>
        <v>1</v>
      </c>
      <c r="H354" s="994"/>
      <c r="I354" s="197">
        <f t="shared" si="92"/>
        <v>1</v>
      </c>
      <c r="J354" s="994"/>
      <c r="K354" s="197">
        <f t="shared" si="93"/>
        <v>1</v>
      </c>
      <c r="L354" s="994"/>
      <c r="M354" s="197">
        <f t="shared" si="94"/>
        <v>1</v>
      </c>
      <c r="N354" s="994"/>
      <c r="O354" s="197">
        <f t="shared" si="95"/>
        <v>1</v>
      </c>
      <c r="P354" s="994"/>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4"/>
      <c r="E355" s="197">
        <f t="shared" si="90"/>
        <v>0</v>
      </c>
      <c r="F355" s="994"/>
      <c r="G355" s="197">
        <f t="shared" si="91"/>
        <v>1</v>
      </c>
      <c r="H355" s="994"/>
      <c r="I355" s="197">
        <f t="shared" si="92"/>
        <v>1</v>
      </c>
      <c r="J355" s="994"/>
      <c r="K355" s="197">
        <f t="shared" si="93"/>
        <v>1</v>
      </c>
      <c r="L355" s="994"/>
      <c r="M355" s="197">
        <f t="shared" si="94"/>
        <v>1</v>
      </c>
      <c r="N355" s="994"/>
      <c r="O355" s="197">
        <f t="shared" si="95"/>
        <v>1</v>
      </c>
      <c r="P355" s="994"/>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4"/>
      <c r="E356" s="197">
        <f t="shared" si="90"/>
        <v>0</v>
      </c>
      <c r="F356" s="994"/>
      <c r="G356" s="197">
        <f t="shared" si="91"/>
        <v>1</v>
      </c>
      <c r="H356" s="994"/>
      <c r="I356" s="197">
        <f t="shared" si="92"/>
        <v>1</v>
      </c>
      <c r="J356" s="994"/>
      <c r="K356" s="197">
        <f t="shared" si="93"/>
        <v>1</v>
      </c>
      <c r="L356" s="994"/>
      <c r="M356" s="197">
        <f t="shared" si="94"/>
        <v>1</v>
      </c>
      <c r="N356" s="994"/>
      <c r="O356" s="197">
        <f t="shared" si="95"/>
        <v>1</v>
      </c>
      <c r="P356" s="994"/>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4"/>
      <c r="E357" s="197">
        <f t="shared" si="90"/>
        <v>0</v>
      </c>
      <c r="F357" s="994"/>
      <c r="G357" s="197">
        <f t="shared" si="91"/>
        <v>1</v>
      </c>
      <c r="H357" s="994"/>
      <c r="I357" s="197">
        <f t="shared" si="92"/>
        <v>1</v>
      </c>
      <c r="J357" s="994"/>
      <c r="K357" s="197">
        <f t="shared" si="93"/>
        <v>1</v>
      </c>
      <c r="L357" s="994"/>
      <c r="M357" s="197">
        <f t="shared" si="94"/>
        <v>1</v>
      </c>
      <c r="N357" s="994"/>
      <c r="O357" s="197">
        <f t="shared" si="95"/>
        <v>1</v>
      </c>
      <c r="P357" s="994"/>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4"/>
      <c r="E358" s="197">
        <f t="shared" si="90"/>
        <v>0</v>
      </c>
      <c r="F358" s="994"/>
      <c r="G358" s="197">
        <f t="shared" si="91"/>
        <v>1</v>
      </c>
      <c r="H358" s="994"/>
      <c r="I358" s="197">
        <f t="shared" si="92"/>
        <v>1</v>
      </c>
      <c r="J358" s="994"/>
      <c r="K358" s="197">
        <f t="shared" si="93"/>
        <v>1</v>
      </c>
      <c r="L358" s="994"/>
      <c r="M358" s="197">
        <f t="shared" si="94"/>
        <v>1</v>
      </c>
      <c r="N358" s="994"/>
      <c r="O358" s="197">
        <f t="shared" si="95"/>
        <v>1</v>
      </c>
      <c r="P358" s="994"/>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4"/>
      <c r="E359" s="197">
        <f t="shared" si="90"/>
        <v>0</v>
      </c>
      <c r="F359" s="994"/>
      <c r="G359" s="197">
        <f t="shared" si="91"/>
        <v>1</v>
      </c>
      <c r="H359" s="994"/>
      <c r="I359" s="197">
        <f t="shared" si="92"/>
        <v>1</v>
      </c>
      <c r="J359" s="994"/>
      <c r="K359" s="197">
        <f t="shared" si="93"/>
        <v>1</v>
      </c>
      <c r="L359" s="994"/>
      <c r="M359" s="197">
        <f t="shared" si="94"/>
        <v>1</v>
      </c>
      <c r="N359" s="994"/>
      <c r="O359" s="197">
        <f t="shared" si="95"/>
        <v>1</v>
      </c>
      <c r="P359" s="994"/>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4"/>
      <c r="E360" s="197">
        <f t="shared" si="90"/>
        <v>0</v>
      </c>
      <c r="F360" s="994"/>
      <c r="G360" s="197">
        <f t="shared" si="91"/>
        <v>1</v>
      </c>
      <c r="H360" s="994"/>
      <c r="I360" s="197">
        <f t="shared" si="92"/>
        <v>1</v>
      </c>
      <c r="J360" s="994"/>
      <c r="K360" s="197">
        <f t="shared" si="93"/>
        <v>1</v>
      </c>
      <c r="L360" s="994"/>
      <c r="M360" s="197">
        <f t="shared" si="94"/>
        <v>1</v>
      </c>
      <c r="N360" s="994"/>
      <c r="O360" s="197">
        <f t="shared" si="95"/>
        <v>1</v>
      </c>
      <c r="P360" s="994"/>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4"/>
      <c r="E361" s="197">
        <f t="shared" si="90"/>
        <v>0</v>
      </c>
      <c r="F361" s="994"/>
      <c r="G361" s="197">
        <f t="shared" si="91"/>
        <v>1</v>
      </c>
      <c r="H361" s="994"/>
      <c r="I361" s="197">
        <f t="shared" si="92"/>
        <v>1</v>
      </c>
      <c r="J361" s="994"/>
      <c r="K361" s="197">
        <f t="shared" si="93"/>
        <v>1</v>
      </c>
      <c r="L361" s="994"/>
      <c r="M361" s="197">
        <f t="shared" si="94"/>
        <v>1</v>
      </c>
      <c r="N361" s="994"/>
      <c r="O361" s="197">
        <f t="shared" si="95"/>
        <v>1</v>
      </c>
      <c r="P361" s="994"/>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4"/>
      <c r="E362" s="197">
        <f t="shared" si="90"/>
        <v>0</v>
      </c>
      <c r="F362" s="994"/>
      <c r="G362" s="197">
        <f t="shared" si="91"/>
        <v>1</v>
      </c>
      <c r="H362" s="994"/>
      <c r="I362" s="197">
        <f t="shared" si="92"/>
        <v>1</v>
      </c>
      <c r="J362" s="994"/>
      <c r="K362" s="197">
        <f t="shared" si="93"/>
        <v>1</v>
      </c>
      <c r="L362" s="994"/>
      <c r="M362" s="197">
        <f t="shared" si="94"/>
        <v>1</v>
      </c>
      <c r="N362" s="994"/>
      <c r="O362" s="197">
        <f t="shared" si="95"/>
        <v>1</v>
      </c>
      <c r="P362" s="994"/>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4"/>
      <c r="E363" s="197">
        <f t="shared" si="90"/>
        <v>0</v>
      </c>
      <c r="F363" s="994"/>
      <c r="G363" s="197">
        <f t="shared" si="91"/>
        <v>1</v>
      </c>
      <c r="H363" s="994"/>
      <c r="I363" s="197">
        <f t="shared" si="92"/>
        <v>1</v>
      </c>
      <c r="J363" s="994"/>
      <c r="K363" s="197">
        <f t="shared" si="93"/>
        <v>1</v>
      </c>
      <c r="L363" s="994"/>
      <c r="M363" s="197">
        <f t="shared" si="94"/>
        <v>1</v>
      </c>
      <c r="N363" s="994"/>
      <c r="O363" s="197">
        <f t="shared" si="95"/>
        <v>1</v>
      </c>
      <c r="P363" s="994"/>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4"/>
      <c r="E364" s="197">
        <f t="shared" si="90"/>
        <v>0</v>
      </c>
      <c r="F364" s="994"/>
      <c r="G364" s="197">
        <f t="shared" si="91"/>
        <v>1</v>
      </c>
      <c r="H364" s="994"/>
      <c r="I364" s="197">
        <f t="shared" si="92"/>
        <v>1</v>
      </c>
      <c r="J364" s="994"/>
      <c r="K364" s="197">
        <f t="shared" si="93"/>
        <v>1</v>
      </c>
      <c r="L364" s="994"/>
      <c r="M364" s="197">
        <f t="shared" si="94"/>
        <v>1</v>
      </c>
      <c r="N364" s="994"/>
      <c r="O364" s="197">
        <f t="shared" si="95"/>
        <v>1</v>
      </c>
      <c r="P364" s="994"/>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4"/>
      <c r="E365" s="197">
        <f t="shared" si="90"/>
        <v>0</v>
      </c>
      <c r="F365" s="994"/>
      <c r="G365" s="197">
        <f t="shared" si="91"/>
        <v>1</v>
      </c>
      <c r="H365" s="994"/>
      <c r="I365" s="197">
        <f t="shared" si="92"/>
        <v>1</v>
      </c>
      <c r="J365" s="994"/>
      <c r="K365" s="197">
        <f t="shared" si="93"/>
        <v>1</v>
      </c>
      <c r="L365" s="994"/>
      <c r="M365" s="197">
        <f t="shared" si="94"/>
        <v>1</v>
      </c>
      <c r="N365" s="994"/>
      <c r="O365" s="197">
        <f t="shared" si="95"/>
        <v>1</v>
      </c>
      <c r="P365" s="994"/>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4"/>
      <c r="E366" s="197">
        <f t="shared" si="90"/>
        <v>0</v>
      </c>
      <c r="F366" s="994"/>
      <c r="G366" s="197">
        <f t="shared" si="91"/>
        <v>1</v>
      </c>
      <c r="H366" s="994"/>
      <c r="I366" s="197">
        <f t="shared" si="92"/>
        <v>1</v>
      </c>
      <c r="J366" s="994"/>
      <c r="K366" s="197">
        <f t="shared" si="93"/>
        <v>1</v>
      </c>
      <c r="L366" s="994"/>
      <c r="M366" s="197">
        <f t="shared" si="94"/>
        <v>1</v>
      </c>
      <c r="N366" s="994"/>
      <c r="O366" s="197">
        <f t="shared" si="95"/>
        <v>1</v>
      </c>
      <c r="P366" s="994"/>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4"/>
      <c r="E367" s="197">
        <f t="shared" si="90"/>
        <v>0</v>
      </c>
      <c r="F367" s="994"/>
      <c r="G367" s="197">
        <f t="shared" si="91"/>
        <v>1</v>
      </c>
      <c r="H367" s="994"/>
      <c r="I367" s="197">
        <f t="shared" si="92"/>
        <v>1</v>
      </c>
      <c r="J367" s="994"/>
      <c r="K367" s="197">
        <f t="shared" si="93"/>
        <v>1</v>
      </c>
      <c r="L367" s="994"/>
      <c r="M367" s="197">
        <f t="shared" si="94"/>
        <v>1</v>
      </c>
      <c r="N367" s="994"/>
      <c r="O367" s="197">
        <f t="shared" si="95"/>
        <v>1</v>
      </c>
      <c r="P367" s="994"/>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4"/>
      <c r="E368" s="197">
        <f t="shared" si="90"/>
        <v>0</v>
      </c>
      <c r="F368" s="994"/>
      <c r="G368" s="197">
        <f t="shared" si="91"/>
        <v>1</v>
      </c>
      <c r="H368" s="994"/>
      <c r="I368" s="197">
        <f t="shared" si="92"/>
        <v>1</v>
      </c>
      <c r="J368" s="994"/>
      <c r="K368" s="197">
        <f t="shared" si="93"/>
        <v>1</v>
      </c>
      <c r="L368" s="994"/>
      <c r="M368" s="197">
        <f t="shared" si="94"/>
        <v>1</v>
      </c>
      <c r="N368" s="994"/>
      <c r="O368" s="197">
        <f t="shared" si="95"/>
        <v>1</v>
      </c>
      <c r="P368" s="994"/>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4"/>
      <c r="E369" s="197">
        <f t="shared" si="90"/>
        <v>0</v>
      </c>
      <c r="F369" s="994"/>
      <c r="G369" s="197">
        <f t="shared" si="91"/>
        <v>1</v>
      </c>
      <c r="H369" s="994"/>
      <c r="I369" s="197">
        <f t="shared" si="92"/>
        <v>1</v>
      </c>
      <c r="J369" s="994"/>
      <c r="K369" s="197">
        <f t="shared" si="93"/>
        <v>1</v>
      </c>
      <c r="L369" s="994"/>
      <c r="M369" s="197">
        <f t="shared" si="94"/>
        <v>1</v>
      </c>
      <c r="N369" s="994"/>
      <c r="O369" s="197">
        <f t="shared" si="95"/>
        <v>1</v>
      </c>
      <c r="P369" s="994"/>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4"/>
      <c r="E370" s="197">
        <f t="shared" si="90"/>
        <v>0</v>
      </c>
      <c r="F370" s="994"/>
      <c r="G370" s="197">
        <f t="shared" si="91"/>
        <v>1</v>
      </c>
      <c r="H370" s="994"/>
      <c r="I370" s="197">
        <f t="shared" si="92"/>
        <v>1</v>
      </c>
      <c r="J370" s="994"/>
      <c r="K370" s="197">
        <f t="shared" si="93"/>
        <v>1</v>
      </c>
      <c r="L370" s="994"/>
      <c r="M370" s="197">
        <f t="shared" si="94"/>
        <v>1</v>
      </c>
      <c r="N370" s="994"/>
      <c r="O370" s="197">
        <f t="shared" si="95"/>
        <v>1</v>
      </c>
      <c r="P370" s="994"/>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4"/>
      <c r="E371" s="197">
        <f t="shared" si="90"/>
        <v>0</v>
      </c>
      <c r="F371" s="994"/>
      <c r="G371" s="197">
        <f t="shared" si="91"/>
        <v>1</v>
      </c>
      <c r="H371" s="994"/>
      <c r="I371" s="197">
        <f t="shared" si="92"/>
        <v>1</v>
      </c>
      <c r="J371" s="994"/>
      <c r="K371" s="197">
        <f t="shared" si="93"/>
        <v>1</v>
      </c>
      <c r="L371" s="994"/>
      <c r="M371" s="197">
        <f t="shared" si="94"/>
        <v>1</v>
      </c>
      <c r="N371" s="994"/>
      <c r="O371" s="197">
        <f t="shared" si="95"/>
        <v>1</v>
      </c>
      <c r="P371" s="994"/>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4"/>
      <c r="E372" s="197">
        <f t="shared" si="90"/>
        <v>0</v>
      </c>
      <c r="F372" s="994"/>
      <c r="G372" s="197">
        <f t="shared" si="91"/>
        <v>1</v>
      </c>
      <c r="H372" s="994"/>
      <c r="I372" s="197">
        <f t="shared" si="92"/>
        <v>1</v>
      </c>
      <c r="J372" s="994"/>
      <c r="K372" s="197">
        <f t="shared" si="93"/>
        <v>1</v>
      </c>
      <c r="L372" s="994"/>
      <c r="M372" s="197">
        <f t="shared" si="94"/>
        <v>1</v>
      </c>
      <c r="N372" s="994"/>
      <c r="O372" s="197">
        <f t="shared" si="95"/>
        <v>1</v>
      </c>
      <c r="P372" s="994"/>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4"/>
      <c r="E373" s="197">
        <f t="shared" si="90"/>
        <v>0</v>
      </c>
      <c r="F373" s="994"/>
      <c r="G373" s="197">
        <f t="shared" si="91"/>
        <v>1</v>
      </c>
      <c r="H373" s="994"/>
      <c r="I373" s="197">
        <f t="shared" si="92"/>
        <v>1</v>
      </c>
      <c r="J373" s="994"/>
      <c r="K373" s="197">
        <f t="shared" si="93"/>
        <v>1</v>
      </c>
      <c r="L373" s="994"/>
      <c r="M373" s="197">
        <f t="shared" si="94"/>
        <v>1</v>
      </c>
      <c r="N373" s="994"/>
      <c r="O373" s="197">
        <f t="shared" si="95"/>
        <v>1</v>
      </c>
      <c r="P373" s="994"/>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4"/>
      <c r="E374" s="197">
        <f t="shared" si="90"/>
        <v>0</v>
      </c>
      <c r="F374" s="994"/>
      <c r="G374" s="197">
        <f t="shared" si="91"/>
        <v>1</v>
      </c>
      <c r="H374" s="994"/>
      <c r="I374" s="197">
        <f t="shared" si="92"/>
        <v>1</v>
      </c>
      <c r="J374" s="994"/>
      <c r="K374" s="197">
        <f t="shared" si="93"/>
        <v>1</v>
      </c>
      <c r="L374" s="994"/>
      <c r="M374" s="197">
        <f t="shared" si="94"/>
        <v>1</v>
      </c>
      <c r="N374" s="994"/>
      <c r="O374" s="197">
        <f t="shared" si="95"/>
        <v>1</v>
      </c>
      <c r="P374" s="994"/>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4"/>
      <c r="E375" s="197">
        <f t="shared" si="90"/>
        <v>0</v>
      </c>
      <c r="F375" s="994"/>
      <c r="G375" s="197">
        <f t="shared" si="91"/>
        <v>1</v>
      </c>
      <c r="H375" s="994"/>
      <c r="I375" s="197">
        <f t="shared" si="92"/>
        <v>1</v>
      </c>
      <c r="J375" s="994"/>
      <c r="K375" s="197">
        <f t="shared" si="93"/>
        <v>1</v>
      </c>
      <c r="L375" s="994"/>
      <c r="M375" s="197">
        <f t="shared" si="94"/>
        <v>1</v>
      </c>
      <c r="N375" s="994"/>
      <c r="O375" s="197">
        <f t="shared" si="95"/>
        <v>1</v>
      </c>
      <c r="P375" s="994"/>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4"/>
      <c r="E376" s="197">
        <f t="shared" si="90"/>
        <v>0</v>
      </c>
      <c r="F376" s="994"/>
      <c r="G376" s="197">
        <f t="shared" si="91"/>
        <v>1</v>
      </c>
      <c r="H376" s="994"/>
      <c r="I376" s="197">
        <f t="shared" si="92"/>
        <v>1</v>
      </c>
      <c r="J376" s="994"/>
      <c r="K376" s="197">
        <f t="shared" si="93"/>
        <v>1</v>
      </c>
      <c r="L376" s="994"/>
      <c r="M376" s="197">
        <f t="shared" si="94"/>
        <v>1</v>
      </c>
      <c r="N376" s="994"/>
      <c r="O376" s="197">
        <f t="shared" si="95"/>
        <v>1</v>
      </c>
      <c r="P376" s="994"/>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4"/>
      <c r="E377" s="197">
        <f t="shared" si="90"/>
        <v>0</v>
      </c>
      <c r="F377" s="994"/>
      <c r="G377" s="197">
        <f t="shared" si="91"/>
        <v>1</v>
      </c>
      <c r="H377" s="994"/>
      <c r="I377" s="197">
        <f t="shared" si="92"/>
        <v>1</v>
      </c>
      <c r="J377" s="994"/>
      <c r="K377" s="197">
        <f t="shared" si="93"/>
        <v>1</v>
      </c>
      <c r="L377" s="994"/>
      <c r="M377" s="197">
        <f t="shared" si="94"/>
        <v>1</v>
      </c>
      <c r="N377" s="994"/>
      <c r="O377" s="197">
        <f t="shared" si="95"/>
        <v>1</v>
      </c>
      <c r="P377" s="994"/>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4"/>
      <c r="E378" s="197">
        <f t="shared" si="90"/>
        <v>0</v>
      </c>
      <c r="F378" s="994"/>
      <c r="G378" s="197">
        <f t="shared" si="91"/>
        <v>1</v>
      </c>
      <c r="H378" s="994"/>
      <c r="I378" s="197">
        <f t="shared" si="92"/>
        <v>1</v>
      </c>
      <c r="J378" s="994"/>
      <c r="K378" s="197">
        <f t="shared" si="93"/>
        <v>1</v>
      </c>
      <c r="L378" s="994"/>
      <c r="M378" s="197">
        <f t="shared" si="94"/>
        <v>1</v>
      </c>
      <c r="N378" s="994"/>
      <c r="O378" s="197">
        <f t="shared" si="95"/>
        <v>1</v>
      </c>
      <c r="P378" s="994"/>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4"/>
      <c r="E379" s="197">
        <f t="shared" si="90"/>
        <v>0</v>
      </c>
      <c r="F379" s="994"/>
      <c r="G379" s="197">
        <f t="shared" si="91"/>
        <v>1</v>
      </c>
      <c r="H379" s="994"/>
      <c r="I379" s="197">
        <f t="shared" si="92"/>
        <v>1</v>
      </c>
      <c r="J379" s="994"/>
      <c r="K379" s="197">
        <f t="shared" si="93"/>
        <v>1</v>
      </c>
      <c r="L379" s="994"/>
      <c r="M379" s="197">
        <f t="shared" si="94"/>
        <v>1</v>
      </c>
      <c r="N379" s="994"/>
      <c r="O379" s="197">
        <f t="shared" si="95"/>
        <v>1</v>
      </c>
      <c r="P379" s="994"/>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4"/>
      <c r="E380" s="197">
        <f t="shared" si="90"/>
        <v>0</v>
      </c>
      <c r="F380" s="994"/>
      <c r="G380" s="197">
        <f t="shared" si="91"/>
        <v>1</v>
      </c>
      <c r="H380" s="994"/>
      <c r="I380" s="197">
        <f t="shared" si="92"/>
        <v>1</v>
      </c>
      <c r="J380" s="994"/>
      <c r="K380" s="197">
        <f t="shared" si="93"/>
        <v>1</v>
      </c>
      <c r="L380" s="994"/>
      <c r="M380" s="197">
        <f t="shared" si="94"/>
        <v>1</v>
      </c>
      <c r="N380" s="994"/>
      <c r="O380" s="197">
        <f t="shared" si="95"/>
        <v>1</v>
      </c>
      <c r="P380" s="994"/>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4"/>
      <c r="E381" s="197">
        <f t="shared" si="90"/>
        <v>0</v>
      </c>
      <c r="F381" s="994"/>
      <c r="G381" s="197">
        <f t="shared" si="91"/>
        <v>1</v>
      </c>
      <c r="H381" s="994"/>
      <c r="I381" s="197">
        <f t="shared" si="92"/>
        <v>1</v>
      </c>
      <c r="J381" s="994"/>
      <c r="K381" s="197">
        <f t="shared" si="93"/>
        <v>1</v>
      </c>
      <c r="L381" s="994"/>
      <c r="M381" s="197">
        <f t="shared" si="94"/>
        <v>1</v>
      </c>
      <c r="N381" s="994"/>
      <c r="O381" s="197">
        <f t="shared" si="95"/>
        <v>1</v>
      </c>
      <c r="P381" s="994"/>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4"/>
      <c r="E382" s="197">
        <f t="shared" si="90"/>
        <v>0</v>
      </c>
      <c r="F382" s="994"/>
      <c r="G382" s="197">
        <f t="shared" si="91"/>
        <v>1</v>
      </c>
      <c r="H382" s="994"/>
      <c r="I382" s="197">
        <f t="shared" si="92"/>
        <v>1</v>
      </c>
      <c r="J382" s="994"/>
      <c r="K382" s="197">
        <f t="shared" si="93"/>
        <v>1</v>
      </c>
      <c r="L382" s="994"/>
      <c r="M382" s="197">
        <f t="shared" si="94"/>
        <v>1</v>
      </c>
      <c r="N382" s="994"/>
      <c r="O382" s="197">
        <f t="shared" si="95"/>
        <v>1</v>
      </c>
      <c r="P382" s="994"/>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4"/>
      <c r="E383" s="197">
        <f t="shared" si="90"/>
        <v>0</v>
      </c>
      <c r="F383" s="994"/>
      <c r="G383" s="197">
        <f t="shared" si="91"/>
        <v>1</v>
      </c>
      <c r="H383" s="994"/>
      <c r="I383" s="197">
        <f t="shared" si="92"/>
        <v>1</v>
      </c>
      <c r="J383" s="994"/>
      <c r="K383" s="197">
        <f t="shared" si="93"/>
        <v>1</v>
      </c>
      <c r="L383" s="994"/>
      <c r="M383" s="197">
        <f t="shared" si="94"/>
        <v>1</v>
      </c>
      <c r="N383" s="994"/>
      <c r="O383" s="197">
        <f t="shared" si="95"/>
        <v>1</v>
      </c>
      <c r="P383" s="994"/>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4"/>
      <c r="E384" s="197">
        <f t="shared" si="90"/>
        <v>0</v>
      </c>
      <c r="F384" s="994"/>
      <c r="G384" s="197">
        <f t="shared" si="91"/>
        <v>1</v>
      </c>
      <c r="H384" s="994"/>
      <c r="I384" s="197">
        <f t="shared" si="92"/>
        <v>1</v>
      </c>
      <c r="J384" s="994"/>
      <c r="K384" s="197">
        <f t="shared" si="93"/>
        <v>1</v>
      </c>
      <c r="L384" s="994"/>
      <c r="M384" s="197">
        <f t="shared" si="94"/>
        <v>1</v>
      </c>
      <c r="N384" s="994"/>
      <c r="O384" s="197">
        <f t="shared" si="95"/>
        <v>1</v>
      </c>
      <c r="P384" s="994"/>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4"/>
      <c r="E385" s="197">
        <f t="shared" si="90"/>
        <v>0</v>
      </c>
      <c r="F385" s="994"/>
      <c r="G385" s="197">
        <f t="shared" si="91"/>
        <v>1</v>
      </c>
      <c r="H385" s="994"/>
      <c r="I385" s="197">
        <f t="shared" si="92"/>
        <v>1</v>
      </c>
      <c r="J385" s="994"/>
      <c r="K385" s="197">
        <f t="shared" si="93"/>
        <v>1</v>
      </c>
      <c r="L385" s="994"/>
      <c r="M385" s="197">
        <f t="shared" si="94"/>
        <v>1</v>
      </c>
      <c r="N385" s="994"/>
      <c r="O385" s="197">
        <f t="shared" si="95"/>
        <v>1</v>
      </c>
      <c r="P385" s="994"/>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4"/>
      <c r="E386" s="197">
        <f t="shared" si="90"/>
        <v>0</v>
      </c>
      <c r="F386" s="994"/>
      <c r="G386" s="197">
        <f t="shared" si="91"/>
        <v>1</v>
      </c>
      <c r="H386" s="994"/>
      <c r="I386" s="197">
        <f t="shared" si="92"/>
        <v>1</v>
      </c>
      <c r="J386" s="994"/>
      <c r="K386" s="197">
        <f t="shared" si="93"/>
        <v>1</v>
      </c>
      <c r="L386" s="994"/>
      <c r="M386" s="197">
        <f t="shared" si="94"/>
        <v>1</v>
      </c>
      <c r="N386" s="994"/>
      <c r="O386" s="197">
        <f t="shared" si="95"/>
        <v>1</v>
      </c>
      <c r="P386" s="994"/>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4"/>
      <c r="E387" s="197">
        <f t="shared" si="90"/>
        <v>0</v>
      </c>
      <c r="F387" s="994"/>
      <c r="G387" s="197">
        <f t="shared" si="91"/>
        <v>1</v>
      </c>
      <c r="H387" s="994"/>
      <c r="I387" s="197">
        <f t="shared" si="92"/>
        <v>1</v>
      </c>
      <c r="J387" s="994"/>
      <c r="K387" s="197">
        <f t="shared" si="93"/>
        <v>1</v>
      </c>
      <c r="L387" s="994"/>
      <c r="M387" s="197">
        <f t="shared" si="94"/>
        <v>1</v>
      </c>
      <c r="N387" s="994"/>
      <c r="O387" s="197">
        <f t="shared" si="95"/>
        <v>1</v>
      </c>
      <c r="P387" s="994"/>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4"/>
      <c r="E388" s="197">
        <f t="shared" si="90"/>
        <v>0</v>
      </c>
      <c r="F388" s="994"/>
      <c r="G388" s="197">
        <f t="shared" si="91"/>
        <v>1</v>
      </c>
      <c r="H388" s="994"/>
      <c r="I388" s="197">
        <f t="shared" si="92"/>
        <v>1</v>
      </c>
      <c r="J388" s="994"/>
      <c r="K388" s="197">
        <f t="shared" si="93"/>
        <v>1</v>
      </c>
      <c r="L388" s="994"/>
      <c r="M388" s="197">
        <f t="shared" si="94"/>
        <v>1</v>
      </c>
      <c r="N388" s="994"/>
      <c r="O388" s="197">
        <f t="shared" si="95"/>
        <v>1</v>
      </c>
      <c r="P388" s="994"/>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4"/>
      <c r="E389" s="197">
        <f t="shared" si="90"/>
        <v>0</v>
      </c>
      <c r="F389" s="994"/>
      <c r="G389" s="197">
        <f t="shared" si="91"/>
        <v>1</v>
      </c>
      <c r="H389" s="994"/>
      <c r="I389" s="197">
        <f t="shared" si="92"/>
        <v>1</v>
      </c>
      <c r="J389" s="994"/>
      <c r="K389" s="197">
        <f t="shared" si="93"/>
        <v>1</v>
      </c>
      <c r="L389" s="994"/>
      <c r="M389" s="197">
        <f t="shared" si="94"/>
        <v>1</v>
      </c>
      <c r="N389" s="994"/>
      <c r="O389" s="197">
        <f t="shared" si="95"/>
        <v>1</v>
      </c>
      <c r="P389" s="994"/>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4"/>
      <c r="E390" s="197">
        <f t="shared" si="90"/>
        <v>0</v>
      </c>
      <c r="F390" s="994"/>
      <c r="G390" s="197">
        <f t="shared" si="91"/>
        <v>1</v>
      </c>
      <c r="H390" s="994"/>
      <c r="I390" s="197">
        <f t="shared" si="92"/>
        <v>1</v>
      </c>
      <c r="J390" s="994"/>
      <c r="K390" s="197">
        <f t="shared" si="93"/>
        <v>1</v>
      </c>
      <c r="L390" s="994"/>
      <c r="M390" s="197">
        <f t="shared" si="94"/>
        <v>1</v>
      </c>
      <c r="N390" s="994"/>
      <c r="O390" s="197">
        <f t="shared" si="95"/>
        <v>1</v>
      </c>
      <c r="P390" s="994"/>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4"/>
      <c r="E391" s="197">
        <f t="shared" si="90"/>
        <v>0</v>
      </c>
      <c r="F391" s="994"/>
      <c r="G391" s="197">
        <f t="shared" si="91"/>
        <v>1</v>
      </c>
      <c r="H391" s="994"/>
      <c r="I391" s="197">
        <f t="shared" si="92"/>
        <v>1</v>
      </c>
      <c r="J391" s="994"/>
      <c r="K391" s="197">
        <f t="shared" si="93"/>
        <v>1</v>
      </c>
      <c r="L391" s="994"/>
      <c r="M391" s="197">
        <f t="shared" si="94"/>
        <v>1</v>
      </c>
      <c r="N391" s="994"/>
      <c r="O391" s="197">
        <f t="shared" si="95"/>
        <v>1</v>
      </c>
      <c r="P391" s="994"/>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4"/>
      <c r="E392" s="197">
        <f t="shared" si="90"/>
        <v>0</v>
      </c>
      <c r="F392" s="994"/>
      <c r="G392" s="197">
        <f t="shared" si="91"/>
        <v>1</v>
      </c>
      <c r="H392" s="994"/>
      <c r="I392" s="197">
        <f t="shared" si="92"/>
        <v>1</v>
      </c>
      <c r="J392" s="994"/>
      <c r="K392" s="197">
        <f t="shared" si="93"/>
        <v>1</v>
      </c>
      <c r="L392" s="994"/>
      <c r="M392" s="197">
        <f t="shared" si="94"/>
        <v>1</v>
      </c>
      <c r="N392" s="994"/>
      <c r="O392" s="197">
        <f t="shared" si="95"/>
        <v>1</v>
      </c>
      <c r="P392" s="994"/>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4"/>
      <c r="E393" s="197">
        <f t="shared" si="90"/>
        <v>0</v>
      </c>
      <c r="F393" s="994"/>
      <c r="G393" s="197">
        <f t="shared" si="91"/>
        <v>1</v>
      </c>
      <c r="H393" s="994"/>
      <c r="I393" s="197">
        <f t="shared" si="92"/>
        <v>1</v>
      </c>
      <c r="J393" s="994"/>
      <c r="K393" s="197">
        <f t="shared" si="93"/>
        <v>1</v>
      </c>
      <c r="L393" s="994"/>
      <c r="M393" s="197">
        <f t="shared" si="94"/>
        <v>1</v>
      </c>
      <c r="N393" s="994"/>
      <c r="O393" s="197">
        <f t="shared" si="95"/>
        <v>1</v>
      </c>
      <c r="P393" s="994"/>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4"/>
      <c r="E394" s="197">
        <f t="shared" si="90"/>
        <v>0</v>
      </c>
      <c r="F394" s="994"/>
      <c r="G394" s="197">
        <f t="shared" si="91"/>
        <v>1</v>
      </c>
      <c r="H394" s="994"/>
      <c r="I394" s="197">
        <f t="shared" si="92"/>
        <v>1</v>
      </c>
      <c r="J394" s="994"/>
      <c r="K394" s="197">
        <f t="shared" si="93"/>
        <v>1</v>
      </c>
      <c r="L394" s="994"/>
      <c r="M394" s="197">
        <f t="shared" si="94"/>
        <v>1</v>
      </c>
      <c r="N394" s="994"/>
      <c r="O394" s="197">
        <f t="shared" si="95"/>
        <v>1</v>
      </c>
      <c r="P394" s="994"/>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4"/>
      <c r="E395" s="197">
        <f t="shared" si="90"/>
        <v>0</v>
      </c>
      <c r="F395" s="994"/>
      <c r="G395" s="197">
        <f t="shared" si="91"/>
        <v>1</v>
      </c>
      <c r="H395" s="994"/>
      <c r="I395" s="197">
        <f t="shared" si="92"/>
        <v>1</v>
      </c>
      <c r="J395" s="994"/>
      <c r="K395" s="197">
        <f t="shared" si="93"/>
        <v>1</v>
      </c>
      <c r="L395" s="994"/>
      <c r="M395" s="197">
        <f t="shared" si="94"/>
        <v>1</v>
      </c>
      <c r="N395" s="994"/>
      <c r="O395" s="197">
        <f t="shared" si="95"/>
        <v>1</v>
      </c>
      <c r="P395" s="994"/>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4"/>
      <c r="E396" s="197">
        <f t="shared" si="90"/>
        <v>0</v>
      </c>
      <c r="F396" s="994"/>
      <c r="G396" s="197">
        <f t="shared" si="91"/>
        <v>1</v>
      </c>
      <c r="H396" s="994"/>
      <c r="I396" s="197">
        <f t="shared" si="92"/>
        <v>1</v>
      </c>
      <c r="J396" s="994"/>
      <c r="K396" s="197">
        <f t="shared" si="93"/>
        <v>1</v>
      </c>
      <c r="L396" s="994"/>
      <c r="M396" s="197">
        <f t="shared" si="94"/>
        <v>1</v>
      </c>
      <c r="N396" s="994"/>
      <c r="O396" s="197">
        <f t="shared" si="95"/>
        <v>1</v>
      </c>
      <c r="P396" s="994"/>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4"/>
      <c r="E397" s="197">
        <f t="shared" si="90"/>
        <v>0</v>
      </c>
      <c r="F397" s="994"/>
      <c r="G397" s="197">
        <f t="shared" si="91"/>
        <v>1</v>
      </c>
      <c r="H397" s="994"/>
      <c r="I397" s="197">
        <f t="shared" si="92"/>
        <v>1</v>
      </c>
      <c r="J397" s="994"/>
      <c r="K397" s="197">
        <f t="shared" si="93"/>
        <v>1</v>
      </c>
      <c r="L397" s="994"/>
      <c r="M397" s="197">
        <f t="shared" si="94"/>
        <v>1</v>
      </c>
      <c r="N397" s="994"/>
      <c r="O397" s="197">
        <f t="shared" si="95"/>
        <v>1</v>
      </c>
      <c r="P397" s="994"/>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4"/>
      <c r="E398" s="197">
        <f t="shared" si="90"/>
        <v>0</v>
      </c>
      <c r="F398" s="994"/>
      <c r="G398" s="197">
        <f t="shared" si="91"/>
        <v>1</v>
      </c>
      <c r="H398" s="994"/>
      <c r="I398" s="197">
        <f t="shared" si="92"/>
        <v>1</v>
      </c>
      <c r="J398" s="994"/>
      <c r="K398" s="197">
        <f t="shared" si="93"/>
        <v>1</v>
      </c>
      <c r="L398" s="994"/>
      <c r="M398" s="197">
        <f t="shared" si="94"/>
        <v>1</v>
      </c>
      <c r="N398" s="994"/>
      <c r="O398" s="197">
        <f t="shared" si="95"/>
        <v>1</v>
      </c>
      <c r="P398" s="994"/>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4"/>
      <c r="E399" s="197">
        <f t="shared" si="90"/>
        <v>0</v>
      </c>
      <c r="F399" s="994"/>
      <c r="G399" s="197">
        <f t="shared" si="91"/>
        <v>1</v>
      </c>
      <c r="H399" s="994"/>
      <c r="I399" s="197">
        <f t="shared" si="92"/>
        <v>1</v>
      </c>
      <c r="J399" s="994"/>
      <c r="K399" s="197">
        <f t="shared" si="93"/>
        <v>1</v>
      </c>
      <c r="L399" s="994"/>
      <c r="M399" s="197">
        <f t="shared" si="94"/>
        <v>1</v>
      </c>
      <c r="N399" s="994"/>
      <c r="O399" s="197">
        <f t="shared" si="95"/>
        <v>1</v>
      </c>
      <c r="P399" s="994"/>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4"/>
      <c r="E400" s="197">
        <f t="shared" si="90"/>
        <v>0</v>
      </c>
      <c r="F400" s="994"/>
      <c r="G400" s="197">
        <f t="shared" si="91"/>
        <v>1</v>
      </c>
      <c r="H400" s="994"/>
      <c r="I400" s="197">
        <f t="shared" si="92"/>
        <v>1</v>
      </c>
      <c r="J400" s="994"/>
      <c r="K400" s="197">
        <f t="shared" si="93"/>
        <v>1</v>
      </c>
      <c r="L400" s="994"/>
      <c r="M400" s="197">
        <f t="shared" si="94"/>
        <v>1</v>
      </c>
      <c r="N400" s="994"/>
      <c r="O400" s="197">
        <f t="shared" si="95"/>
        <v>1</v>
      </c>
      <c r="P400" s="994"/>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4"/>
      <c r="E401" s="197">
        <f t="shared" si="90"/>
        <v>0</v>
      </c>
      <c r="F401" s="994"/>
      <c r="G401" s="197">
        <f t="shared" si="91"/>
        <v>1</v>
      </c>
      <c r="H401" s="994"/>
      <c r="I401" s="197">
        <f t="shared" si="92"/>
        <v>1</v>
      </c>
      <c r="J401" s="994"/>
      <c r="K401" s="197">
        <f t="shared" si="93"/>
        <v>1</v>
      </c>
      <c r="L401" s="994"/>
      <c r="M401" s="197">
        <f t="shared" si="94"/>
        <v>1</v>
      </c>
      <c r="N401" s="994"/>
      <c r="O401" s="197">
        <f t="shared" si="95"/>
        <v>1</v>
      </c>
      <c r="P401" s="994"/>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4"/>
      <c r="E402" s="197">
        <f t="shared" si="90"/>
        <v>0</v>
      </c>
      <c r="F402" s="994"/>
      <c r="G402" s="197">
        <f t="shared" si="91"/>
        <v>1</v>
      </c>
      <c r="H402" s="994"/>
      <c r="I402" s="197">
        <f t="shared" si="92"/>
        <v>1</v>
      </c>
      <c r="J402" s="994"/>
      <c r="K402" s="197">
        <f t="shared" si="93"/>
        <v>1</v>
      </c>
      <c r="L402" s="994"/>
      <c r="M402" s="197">
        <f t="shared" si="94"/>
        <v>1</v>
      </c>
      <c r="N402" s="994"/>
      <c r="O402" s="197">
        <f t="shared" si="95"/>
        <v>1</v>
      </c>
      <c r="P402" s="994"/>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4"/>
      <c r="E403" s="197">
        <f t="shared" si="90"/>
        <v>0</v>
      </c>
      <c r="F403" s="994"/>
      <c r="G403" s="197">
        <f t="shared" si="91"/>
        <v>1</v>
      </c>
      <c r="H403" s="994"/>
      <c r="I403" s="197">
        <f t="shared" si="92"/>
        <v>1</v>
      </c>
      <c r="J403" s="994"/>
      <c r="K403" s="197">
        <f t="shared" si="93"/>
        <v>1</v>
      </c>
      <c r="L403" s="994"/>
      <c r="M403" s="197">
        <f t="shared" si="94"/>
        <v>1</v>
      </c>
      <c r="N403" s="994"/>
      <c r="O403" s="197">
        <f t="shared" si="95"/>
        <v>1</v>
      </c>
      <c r="P403" s="994"/>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4"/>
      <c r="E404" s="197">
        <f t="shared" si="90"/>
        <v>0</v>
      </c>
      <c r="F404" s="994"/>
      <c r="G404" s="197">
        <f t="shared" si="91"/>
        <v>1</v>
      </c>
      <c r="H404" s="994"/>
      <c r="I404" s="197">
        <f t="shared" si="92"/>
        <v>1</v>
      </c>
      <c r="J404" s="994"/>
      <c r="K404" s="197">
        <f t="shared" si="93"/>
        <v>1</v>
      </c>
      <c r="L404" s="994"/>
      <c r="M404" s="197">
        <f t="shared" si="94"/>
        <v>1</v>
      </c>
      <c r="N404" s="994"/>
      <c r="O404" s="197">
        <f t="shared" si="95"/>
        <v>1</v>
      </c>
      <c r="P404" s="994"/>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4"/>
      <c r="E405" s="197">
        <f t="shared" si="90"/>
        <v>0</v>
      </c>
      <c r="F405" s="994"/>
      <c r="G405" s="197">
        <f t="shared" si="91"/>
        <v>1</v>
      </c>
      <c r="H405" s="994"/>
      <c r="I405" s="197">
        <f t="shared" si="92"/>
        <v>1</v>
      </c>
      <c r="J405" s="994"/>
      <c r="K405" s="197">
        <f t="shared" si="93"/>
        <v>1</v>
      </c>
      <c r="L405" s="994"/>
      <c r="M405" s="197">
        <f t="shared" si="94"/>
        <v>1</v>
      </c>
      <c r="N405" s="994"/>
      <c r="O405" s="197">
        <f t="shared" si="95"/>
        <v>1</v>
      </c>
      <c r="P405" s="994"/>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4"/>
      <c r="E406" s="197">
        <f t="shared" si="90"/>
        <v>0</v>
      </c>
      <c r="F406" s="994"/>
      <c r="G406" s="197">
        <f t="shared" si="91"/>
        <v>1</v>
      </c>
      <c r="H406" s="994"/>
      <c r="I406" s="197">
        <f t="shared" si="92"/>
        <v>1</v>
      </c>
      <c r="J406" s="994"/>
      <c r="K406" s="197">
        <f t="shared" si="93"/>
        <v>1</v>
      </c>
      <c r="L406" s="994"/>
      <c r="M406" s="197">
        <f t="shared" si="94"/>
        <v>1</v>
      </c>
      <c r="N406" s="994"/>
      <c r="O406" s="197">
        <f t="shared" si="95"/>
        <v>1</v>
      </c>
      <c r="P406" s="994"/>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4"/>
      <c r="E407" s="197">
        <f t="shared" si="90"/>
        <v>0</v>
      </c>
      <c r="F407" s="994"/>
      <c r="G407" s="197">
        <f t="shared" si="91"/>
        <v>1</v>
      </c>
      <c r="H407" s="994"/>
      <c r="I407" s="197">
        <f t="shared" si="92"/>
        <v>1</v>
      </c>
      <c r="J407" s="994"/>
      <c r="K407" s="197">
        <f t="shared" si="93"/>
        <v>1</v>
      </c>
      <c r="L407" s="994"/>
      <c r="M407" s="197">
        <f t="shared" si="94"/>
        <v>1</v>
      </c>
      <c r="N407" s="994"/>
      <c r="O407" s="197">
        <f t="shared" si="95"/>
        <v>1</v>
      </c>
      <c r="P407" s="994"/>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4"/>
      <c r="E408" s="197">
        <f t="shared" si="90"/>
        <v>0</v>
      </c>
      <c r="F408" s="994"/>
      <c r="G408" s="197">
        <f t="shared" si="91"/>
        <v>1</v>
      </c>
      <c r="H408" s="994"/>
      <c r="I408" s="197">
        <f t="shared" si="92"/>
        <v>1</v>
      </c>
      <c r="J408" s="994"/>
      <c r="K408" s="197">
        <f t="shared" si="93"/>
        <v>1</v>
      </c>
      <c r="L408" s="994"/>
      <c r="M408" s="197">
        <f t="shared" si="94"/>
        <v>1</v>
      </c>
      <c r="N408" s="994"/>
      <c r="O408" s="197">
        <f t="shared" si="95"/>
        <v>1</v>
      </c>
      <c r="P408" s="994"/>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4"/>
      <c r="E409" s="197">
        <f t="shared" si="90"/>
        <v>0</v>
      </c>
      <c r="F409" s="994"/>
      <c r="G409" s="197">
        <f t="shared" si="91"/>
        <v>1</v>
      </c>
      <c r="H409" s="994"/>
      <c r="I409" s="197">
        <f t="shared" si="92"/>
        <v>1</v>
      </c>
      <c r="J409" s="994"/>
      <c r="K409" s="197">
        <f t="shared" si="93"/>
        <v>1</v>
      </c>
      <c r="L409" s="994"/>
      <c r="M409" s="197">
        <f t="shared" si="94"/>
        <v>1</v>
      </c>
      <c r="N409" s="994"/>
      <c r="O409" s="197">
        <f t="shared" si="95"/>
        <v>1</v>
      </c>
      <c r="P409" s="994"/>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4"/>
      <c r="E410" s="197">
        <f t="shared" si="90"/>
        <v>0</v>
      </c>
      <c r="F410" s="994"/>
      <c r="G410" s="197">
        <f t="shared" si="91"/>
        <v>1</v>
      </c>
      <c r="H410" s="994"/>
      <c r="I410" s="197">
        <f t="shared" si="92"/>
        <v>1</v>
      </c>
      <c r="J410" s="994"/>
      <c r="K410" s="197">
        <f t="shared" si="93"/>
        <v>1</v>
      </c>
      <c r="L410" s="994"/>
      <c r="M410" s="197">
        <f t="shared" si="94"/>
        <v>1</v>
      </c>
      <c r="N410" s="994"/>
      <c r="O410" s="197">
        <f t="shared" si="95"/>
        <v>1</v>
      </c>
      <c r="P410" s="994"/>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4"/>
      <c r="E411" s="197">
        <f t="shared" si="90"/>
        <v>0</v>
      </c>
      <c r="F411" s="994"/>
      <c r="G411" s="197">
        <f t="shared" si="91"/>
        <v>1</v>
      </c>
      <c r="H411" s="994"/>
      <c r="I411" s="197">
        <f t="shared" si="92"/>
        <v>1</v>
      </c>
      <c r="J411" s="994"/>
      <c r="K411" s="197">
        <f t="shared" si="93"/>
        <v>1</v>
      </c>
      <c r="L411" s="994"/>
      <c r="M411" s="197">
        <f t="shared" si="94"/>
        <v>1</v>
      </c>
      <c r="N411" s="994"/>
      <c r="O411" s="197">
        <f t="shared" si="95"/>
        <v>1</v>
      </c>
      <c r="P411" s="994"/>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4"/>
      <c r="E412" s="197">
        <f t="shared" ref="E412:E475" si="105">(SUMIF($8:$8,D412,$9:$9)-SUMIF($8:$8,$D$27,$9:$9)+100)/100</f>
        <v>0</v>
      </c>
      <c r="F412" s="994"/>
      <c r="G412" s="197">
        <f t="shared" ref="G412:G475" si="106">(SUMIF($10:$10,F412,$11:$11)-SUMIF($10:$10,$F$27,$11:$11)+100)/100</f>
        <v>1</v>
      </c>
      <c r="H412" s="994"/>
      <c r="I412" s="197">
        <f t="shared" ref="I412:I475" si="107">(SUMIF($12:$12,H412,$13:$13)-SUMIF($12:$12,$H$27,$13:$13)+100)/100</f>
        <v>1</v>
      </c>
      <c r="J412" s="994"/>
      <c r="K412" s="197">
        <f t="shared" ref="K412:K475" si="108">(SUMIF($14:$14,J412,$15:$15)-SUMIF($14:$14,$J$27,$15:$15)+100)/100</f>
        <v>1</v>
      </c>
      <c r="L412" s="994"/>
      <c r="M412" s="197">
        <f t="shared" ref="M412:M475" si="109">(SUMIF($16:$16,L412,$17:$17)-SUMIF($16:$16,$L$27,$17:$17)+100)/100</f>
        <v>1</v>
      </c>
      <c r="N412" s="994"/>
      <c r="O412" s="197">
        <f t="shared" ref="O412:O475" si="110">(SUMIF($18:$18,N412,$19:$19)-SUMIF($18:$18,$N$27,$19:$19)+100)/100</f>
        <v>1</v>
      </c>
      <c r="P412" s="994"/>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4"/>
      <c r="E413" s="197">
        <f t="shared" si="105"/>
        <v>0</v>
      </c>
      <c r="F413" s="994"/>
      <c r="G413" s="197">
        <f t="shared" si="106"/>
        <v>1</v>
      </c>
      <c r="H413" s="994"/>
      <c r="I413" s="197">
        <f t="shared" si="107"/>
        <v>1</v>
      </c>
      <c r="J413" s="994"/>
      <c r="K413" s="197">
        <f t="shared" si="108"/>
        <v>1</v>
      </c>
      <c r="L413" s="994"/>
      <c r="M413" s="197">
        <f t="shared" si="109"/>
        <v>1</v>
      </c>
      <c r="N413" s="994"/>
      <c r="O413" s="197">
        <f t="shared" si="110"/>
        <v>1</v>
      </c>
      <c r="P413" s="994"/>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4"/>
      <c r="E414" s="197">
        <f t="shared" si="105"/>
        <v>0</v>
      </c>
      <c r="F414" s="994"/>
      <c r="G414" s="197">
        <f t="shared" si="106"/>
        <v>1</v>
      </c>
      <c r="H414" s="994"/>
      <c r="I414" s="197">
        <f t="shared" si="107"/>
        <v>1</v>
      </c>
      <c r="J414" s="994"/>
      <c r="K414" s="197">
        <f t="shared" si="108"/>
        <v>1</v>
      </c>
      <c r="L414" s="994"/>
      <c r="M414" s="197">
        <f t="shared" si="109"/>
        <v>1</v>
      </c>
      <c r="N414" s="994"/>
      <c r="O414" s="197">
        <f t="shared" si="110"/>
        <v>1</v>
      </c>
      <c r="P414" s="994"/>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4"/>
      <c r="E415" s="197">
        <f t="shared" si="105"/>
        <v>0</v>
      </c>
      <c r="F415" s="994"/>
      <c r="G415" s="197">
        <f t="shared" si="106"/>
        <v>1</v>
      </c>
      <c r="H415" s="994"/>
      <c r="I415" s="197">
        <f t="shared" si="107"/>
        <v>1</v>
      </c>
      <c r="J415" s="994"/>
      <c r="K415" s="197">
        <f t="shared" si="108"/>
        <v>1</v>
      </c>
      <c r="L415" s="994"/>
      <c r="M415" s="197">
        <f t="shared" si="109"/>
        <v>1</v>
      </c>
      <c r="N415" s="994"/>
      <c r="O415" s="197">
        <f t="shared" si="110"/>
        <v>1</v>
      </c>
      <c r="P415" s="994"/>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4"/>
      <c r="E416" s="197">
        <f t="shared" si="105"/>
        <v>0</v>
      </c>
      <c r="F416" s="994"/>
      <c r="G416" s="197">
        <f t="shared" si="106"/>
        <v>1</v>
      </c>
      <c r="H416" s="994"/>
      <c r="I416" s="197">
        <f t="shared" si="107"/>
        <v>1</v>
      </c>
      <c r="J416" s="994"/>
      <c r="K416" s="197">
        <f t="shared" si="108"/>
        <v>1</v>
      </c>
      <c r="L416" s="994"/>
      <c r="M416" s="197">
        <f t="shared" si="109"/>
        <v>1</v>
      </c>
      <c r="N416" s="994"/>
      <c r="O416" s="197">
        <f t="shared" si="110"/>
        <v>1</v>
      </c>
      <c r="P416" s="994"/>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4"/>
      <c r="E417" s="197">
        <f t="shared" si="105"/>
        <v>0</v>
      </c>
      <c r="F417" s="994"/>
      <c r="G417" s="197">
        <f t="shared" si="106"/>
        <v>1</v>
      </c>
      <c r="H417" s="994"/>
      <c r="I417" s="197">
        <f t="shared" si="107"/>
        <v>1</v>
      </c>
      <c r="J417" s="994"/>
      <c r="K417" s="197">
        <f t="shared" si="108"/>
        <v>1</v>
      </c>
      <c r="L417" s="994"/>
      <c r="M417" s="197">
        <f t="shared" si="109"/>
        <v>1</v>
      </c>
      <c r="N417" s="994"/>
      <c r="O417" s="197">
        <f t="shared" si="110"/>
        <v>1</v>
      </c>
      <c r="P417" s="994"/>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4"/>
      <c r="E418" s="197">
        <f t="shared" si="105"/>
        <v>0</v>
      </c>
      <c r="F418" s="994"/>
      <c r="G418" s="197">
        <f t="shared" si="106"/>
        <v>1</v>
      </c>
      <c r="H418" s="994"/>
      <c r="I418" s="197">
        <f t="shared" si="107"/>
        <v>1</v>
      </c>
      <c r="J418" s="994"/>
      <c r="K418" s="197">
        <f t="shared" si="108"/>
        <v>1</v>
      </c>
      <c r="L418" s="994"/>
      <c r="M418" s="197">
        <f t="shared" si="109"/>
        <v>1</v>
      </c>
      <c r="N418" s="994"/>
      <c r="O418" s="197">
        <f t="shared" si="110"/>
        <v>1</v>
      </c>
      <c r="P418" s="994"/>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4"/>
      <c r="E419" s="197">
        <f t="shared" si="105"/>
        <v>0</v>
      </c>
      <c r="F419" s="994"/>
      <c r="G419" s="197">
        <f t="shared" si="106"/>
        <v>1</v>
      </c>
      <c r="H419" s="994"/>
      <c r="I419" s="197">
        <f t="shared" si="107"/>
        <v>1</v>
      </c>
      <c r="J419" s="994"/>
      <c r="K419" s="197">
        <f t="shared" si="108"/>
        <v>1</v>
      </c>
      <c r="L419" s="994"/>
      <c r="M419" s="197">
        <f t="shared" si="109"/>
        <v>1</v>
      </c>
      <c r="N419" s="994"/>
      <c r="O419" s="197">
        <f t="shared" si="110"/>
        <v>1</v>
      </c>
      <c r="P419" s="994"/>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4"/>
      <c r="E420" s="197">
        <f t="shared" si="105"/>
        <v>0</v>
      </c>
      <c r="F420" s="994"/>
      <c r="G420" s="197">
        <f t="shared" si="106"/>
        <v>1</v>
      </c>
      <c r="H420" s="994"/>
      <c r="I420" s="197">
        <f t="shared" si="107"/>
        <v>1</v>
      </c>
      <c r="J420" s="994"/>
      <c r="K420" s="197">
        <f t="shared" si="108"/>
        <v>1</v>
      </c>
      <c r="L420" s="994"/>
      <c r="M420" s="197">
        <f t="shared" si="109"/>
        <v>1</v>
      </c>
      <c r="N420" s="994"/>
      <c r="O420" s="197">
        <f t="shared" si="110"/>
        <v>1</v>
      </c>
      <c r="P420" s="994"/>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4"/>
      <c r="E421" s="197">
        <f t="shared" si="105"/>
        <v>0</v>
      </c>
      <c r="F421" s="994"/>
      <c r="G421" s="197">
        <f t="shared" si="106"/>
        <v>1</v>
      </c>
      <c r="H421" s="994"/>
      <c r="I421" s="197">
        <f t="shared" si="107"/>
        <v>1</v>
      </c>
      <c r="J421" s="994"/>
      <c r="K421" s="197">
        <f t="shared" si="108"/>
        <v>1</v>
      </c>
      <c r="L421" s="994"/>
      <c r="M421" s="197">
        <f t="shared" si="109"/>
        <v>1</v>
      </c>
      <c r="N421" s="994"/>
      <c r="O421" s="197">
        <f t="shared" si="110"/>
        <v>1</v>
      </c>
      <c r="P421" s="994"/>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4"/>
      <c r="E422" s="197">
        <f t="shared" si="105"/>
        <v>0</v>
      </c>
      <c r="F422" s="994"/>
      <c r="G422" s="197">
        <f t="shared" si="106"/>
        <v>1</v>
      </c>
      <c r="H422" s="994"/>
      <c r="I422" s="197">
        <f t="shared" si="107"/>
        <v>1</v>
      </c>
      <c r="J422" s="994"/>
      <c r="K422" s="197">
        <f t="shared" si="108"/>
        <v>1</v>
      </c>
      <c r="L422" s="994"/>
      <c r="M422" s="197">
        <f t="shared" si="109"/>
        <v>1</v>
      </c>
      <c r="N422" s="994"/>
      <c r="O422" s="197">
        <f t="shared" si="110"/>
        <v>1</v>
      </c>
      <c r="P422" s="994"/>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4"/>
      <c r="E423" s="197">
        <f t="shared" si="105"/>
        <v>0</v>
      </c>
      <c r="F423" s="994"/>
      <c r="G423" s="197">
        <f t="shared" si="106"/>
        <v>1</v>
      </c>
      <c r="H423" s="994"/>
      <c r="I423" s="197">
        <f t="shared" si="107"/>
        <v>1</v>
      </c>
      <c r="J423" s="994"/>
      <c r="K423" s="197">
        <f t="shared" si="108"/>
        <v>1</v>
      </c>
      <c r="L423" s="994"/>
      <c r="M423" s="197">
        <f t="shared" si="109"/>
        <v>1</v>
      </c>
      <c r="N423" s="994"/>
      <c r="O423" s="197">
        <f t="shared" si="110"/>
        <v>1</v>
      </c>
      <c r="P423" s="994"/>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4"/>
      <c r="E424" s="197">
        <f t="shared" si="105"/>
        <v>0</v>
      </c>
      <c r="F424" s="994"/>
      <c r="G424" s="197">
        <f t="shared" si="106"/>
        <v>1</v>
      </c>
      <c r="H424" s="994"/>
      <c r="I424" s="197">
        <f t="shared" si="107"/>
        <v>1</v>
      </c>
      <c r="J424" s="994"/>
      <c r="K424" s="197">
        <f t="shared" si="108"/>
        <v>1</v>
      </c>
      <c r="L424" s="994"/>
      <c r="M424" s="197">
        <f t="shared" si="109"/>
        <v>1</v>
      </c>
      <c r="N424" s="994"/>
      <c r="O424" s="197">
        <f t="shared" si="110"/>
        <v>1</v>
      </c>
      <c r="P424" s="994"/>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4"/>
      <c r="E425" s="197">
        <f t="shared" si="105"/>
        <v>0</v>
      </c>
      <c r="F425" s="994"/>
      <c r="G425" s="197">
        <f t="shared" si="106"/>
        <v>1</v>
      </c>
      <c r="H425" s="994"/>
      <c r="I425" s="197">
        <f t="shared" si="107"/>
        <v>1</v>
      </c>
      <c r="J425" s="994"/>
      <c r="K425" s="197">
        <f t="shared" si="108"/>
        <v>1</v>
      </c>
      <c r="L425" s="994"/>
      <c r="M425" s="197">
        <f t="shared" si="109"/>
        <v>1</v>
      </c>
      <c r="N425" s="994"/>
      <c r="O425" s="197">
        <f t="shared" si="110"/>
        <v>1</v>
      </c>
      <c r="P425" s="994"/>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4"/>
      <c r="E426" s="197">
        <f t="shared" si="105"/>
        <v>0</v>
      </c>
      <c r="F426" s="994"/>
      <c r="G426" s="197">
        <f t="shared" si="106"/>
        <v>1</v>
      </c>
      <c r="H426" s="994"/>
      <c r="I426" s="197">
        <f t="shared" si="107"/>
        <v>1</v>
      </c>
      <c r="J426" s="994"/>
      <c r="K426" s="197">
        <f t="shared" si="108"/>
        <v>1</v>
      </c>
      <c r="L426" s="994"/>
      <c r="M426" s="197">
        <f t="shared" si="109"/>
        <v>1</v>
      </c>
      <c r="N426" s="994"/>
      <c r="O426" s="197">
        <f t="shared" si="110"/>
        <v>1</v>
      </c>
      <c r="P426" s="994"/>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4"/>
      <c r="E427" s="197">
        <f t="shared" si="105"/>
        <v>0</v>
      </c>
      <c r="F427" s="994"/>
      <c r="G427" s="197">
        <f t="shared" si="106"/>
        <v>1</v>
      </c>
      <c r="H427" s="994"/>
      <c r="I427" s="197">
        <f t="shared" si="107"/>
        <v>1</v>
      </c>
      <c r="J427" s="994"/>
      <c r="K427" s="197">
        <f t="shared" si="108"/>
        <v>1</v>
      </c>
      <c r="L427" s="994"/>
      <c r="M427" s="197">
        <f t="shared" si="109"/>
        <v>1</v>
      </c>
      <c r="N427" s="994"/>
      <c r="O427" s="197">
        <f t="shared" si="110"/>
        <v>1</v>
      </c>
      <c r="P427" s="994"/>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4"/>
      <c r="E428" s="197">
        <f t="shared" si="105"/>
        <v>0</v>
      </c>
      <c r="F428" s="994"/>
      <c r="G428" s="197">
        <f t="shared" si="106"/>
        <v>1</v>
      </c>
      <c r="H428" s="994"/>
      <c r="I428" s="197">
        <f t="shared" si="107"/>
        <v>1</v>
      </c>
      <c r="J428" s="994"/>
      <c r="K428" s="197">
        <f t="shared" si="108"/>
        <v>1</v>
      </c>
      <c r="L428" s="994"/>
      <c r="M428" s="197">
        <f t="shared" si="109"/>
        <v>1</v>
      </c>
      <c r="N428" s="994"/>
      <c r="O428" s="197">
        <f t="shared" si="110"/>
        <v>1</v>
      </c>
      <c r="P428" s="994"/>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4"/>
      <c r="E429" s="197">
        <f t="shared" si="105"/>
        <v>0</v>
      </c>
      <c r="F429" s="994"/>
      <c r="G429" s="197">
        <f t="shared" si="106"/>
        <v>1</v>
      </c>
      <c r="H429" s="994"/>
      <c r="I429" s="197">
        <f t="shared" si="107"/>
        <v>1</v>
      </c>
      <c r="J429" s="994"/>
      <c r="K429" s="197">
        <f t="shared" si="108"/>
        <v>1</v>
      </c>
      <c r="L429" s="994"/>
      <c r="M429" s="197">
        <f t="shared" si="109"/>
        <v>1</v>
      </c>
      <c r="N429" s="994"/>
      <c r="O429" s="197">
        <f t="shared" si="110"/>
        <v>1</v>
      </c>
      <c r="P429" s="994"/>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4"/>
      <c r="E430" s="197">
        <f t="shared" si="105"/>
        <v>0</v>
      </c>
      <c r="F430" s="994"/>
      <c r="G430" s="197">
        <f t="shared" si="106"/>
        <v>1</v>
      </c>
      <c r="H430" s="994"/>
      <c r="I430" s="197">
        <f t="shared" si="107"/>
        <v>1</v>
      </c>
      <c r="J430" s="994"/>
      <c r="K430" s="197">
        <f t="shared" si="108"/>
        <v>1</v>
      </c>
      <c r="L430" s="994"/>
      <c r="M430" s="197">
        <f t="shared" si="109"/>
        <v>1</v>
      </c>
      <c r="N430" s="994"/>
      <c r="O430" s="197">
        <f t="shared" si="110"/>
        <v>1</v>
      </c>
      <c r="P430" s="994"/>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4"/>
      <c r="E431" s="197">
        <f t="shared" si="105"/>
        <v>0</v>
      </c>
      <c r="F431" s="994"/>
      <c r="G431" s="197">
        <f t="shared" si="106"/>
        <v>1</v>
      </c>
      <c r="H431" s="994"/>
      <c r="I431" s="197">
        <f t="shared" si="107"/>
        <v>1</v>
      </c>
      <c r="J431" s="994"/>
      <c r="K431" s="197">
        <f t="shared" si="108"/>
        <v>1</v>
      </c>
      <c r="L431" s="994"/>
      <c r="M431" s="197">
        <f t="shared" si="109"/>
        <v>1</v>
      </c>
      <c r="N431" s="994"/>
      <c r="O431" s="197">
        <f t="shared" si="110"/>
        <v>1</v>
      </c>
      <c r="P431" s="994"/>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4"/>
      <c r="E432" s="197">
        <f t="shared" si="105"/>
        <v>0</v>
      </c>
      <c r="F432" s="994"/>
      <c r="G432" s="197">
        <f t="shared" si="106"/>
        <v>1</v>
      </c>
      <c r="H432" s="994"/>
      <c r="I432" s="197">
        <f t="shared" si="107"/>
        <v>1</v>
      </c>
      <c r="J432" s="994"/>
      <c r="K432" s="197">
        <f t="shared" si="108"/>
        <v>1</v>
      </c>
      <c r="L432" s="994"/>
      <c r="M432" s="197">
        <f t="shared" si="109"/>
        <v>1</v>
      </c>
      <c r="N432" s="994"/>
      <c r="O432" s="197">
        <f t="shared" si="110"/>
        <v>1</v>
      </c>
      <c r="P432" s="994"/>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4"/>
      <c r="E433" s="197">
        <f t="shared" si="105"/>
        <v>0</v>
      </c>
      <c r="F433" s="994"/>
      <c r="G433" s="197">
        <f t="shared" si="106"/>
        <v>1</v>
      </c>
      <c r="H433" s="994"/>
      <c r="I433" s="197">
        <f t="shared" si="107"/>
        <v>1</v>
      </c>
      <c r="J433" s="994"/>
      <c r="K433" s="197">
        <f t="shared" si="108"/>
        <v>1</v>
      </c>
      <c r="L433" s="994"/>
      <c r="M433" s="197">
        <f t="shared" si="109"/>
        <v>1</v>
      </c>
      <c r="N433" s="994"/>
      <c r="O433" s="197">
        <f t="shared" si="110"/>
        <v>1</v>
      </c>
      <c r="P433" s="994"/>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4"/>
      <c r="E434" s="197">
        <f t="shared" si="105"/>
        <v>0</v>
      </c>
      <c r="F434" s="994"/>
      <c r="G434" s="197">
        <f t="shared" si="106"/>
        <v>1</v>
      </c>
      <c r="H434" s="994"/>
      <c r="I434" s="197">
        <f t="shared" si="107"/>
        <v>1</v>
      </c>
      <c r="J434" s="994"/>
      <c r="K434" s="197">
        <f t="shared" si="108"/>
        <v>1</v>
      </c>
      <c r="L434" s="994"/>
      <c r="M434" s="197">
        <f t="shared" si="109"/>
        <v>1</v>
      </c>
      <c r="N434" s="994"/>
      <c r="O434" s="197">
        <f t="shared" si="110"/>
        <v>1</v>
      </c>
      <c r="P434" s="994"/>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4"/>
      <c r="E435" s="197">
        <f t="shared" si="105"/>
        <v>0</v>
      </c>
      <c r="F435" s="994"/>
      <c r="G435" s="197">
        <f t="shared" si="106"/>
        <v>1</v>
      </c>
      <c r="H435" s="994"/>
      <c r="I435" s="197">
        <f t="shared" si="107"/>
        <v>1</v>
      </c>
      <c r="J435" s="994"/>
      <c r="K435" s="197">
        <f t="shared" si="108"/>
        <v>1</v>
      </c>
      <c r="L435" s="994"/>
      <c r="M435" s="197">
        <f t="shared" si="109"/>
        <v>1</v>
      </c>
      <c r="N435" s="994"/>
      <c r="O435" s="197">
        <f t="shared" si="110"/>
        <v>1</v>
      </c>
      <c r="P435" s="994"/>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4"/>
      <c r="E436" s="197">
        <f t="shared" si="105"/>
        <v>0</v>
      </c>
      <c r="F436" s="994"/>
      <c r="G436" s="197">
        <f t="shared" si="106"/>
        <v>1</v>
      </c>
      <c r="H436" s="994"/>
      <c r="I436" s="197">
        <f t="shared" si="107"/>
        <v>1</v>
      </c>
      <c r="J436" s="994"/>
      <c r="K436" s="197">
        <f t="shared" si="108"/>
        <v>1</v>
      </c>
      <c r="L436" s="994"/>
      <c r="M436" s="197">
        <f t="shared" si="109"/>
        <v>1</v>
      </c>
      <c r="N436" s="994"/>
      <c r="O436" s="197">
        <f t="shared" si="110"/>
        <v>1</v>
      </c>
      <c r="P436" s="994"/>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4"/>
      <c r="E437" s="197">
        <f t="shared" si="105"/>
        <v>0</v>
      </c>
      <c r="F437" s="994"/>
      <c r="G437" s="197">
        <f t="shared" si="106"/>
        <v>1</v>
      </c>
      <c r="H437" s="994"/>
      <c r="I437" s="197">
        <f t="shared" si="107"/>
        <v>1</v>
      </c>
      <c r="J437" s="994"/>
      <c r="K437" s="197">
        <f t="shared" si="108"/>
        <v>1</v>
      </c>
      <c r="L437" s="994"/>
      <c r="M437" s="197">
        <f t="shared" si="109"/>
        <v>1</v>
      </c>
      <c r="N437" s="994"/>
      <c r="O437" s="197">
        <f t="shared" si="110"/>
        <v>1</v>
      </c>
      <c r="P437" s="994"/>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4"/>
      <c r="E438" s="197">
        <f t="shared" si="105"/>
        <v>0</v>
      </c>
      <c r="F438" s="994"/>
      <c r="G438" s="197">
        <f t="shared" si="106"/>
        <v>1</v>
      </c>
      <c r="H438" s="994"/>
      <c r="I438" s="197">
        <f t="shared" si="107"/>
        <v>1</v>
      </c>
      <c r="J438" s="994"/>
      <c r="K438" s="197">
        <f t="shared" si="108"/>
        <v>1</v>
      </c>
      <c r="L438" s="994"/>
      <c r="M438" s="197">
        <f t="shared" si="109"/>
        <v>1</v>
      </c>
      <c r="N438" s="994"/>
      <c r="O438" s="197">
        <f t="shared" si="110"/>
        <v>1</v>
      </c>
      <c r="P438" s="994"/>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4"/>
      <c r="E439" s="197">
        <f t="shared" si="105"/>
        <v>0</v>
      </c>
      <c r="F439" s="994"/>
      <c r="G439" s="197">
        <f t="shared" si="106"/>
        <v>1</v>
      </c>
      <c r="H439" s="994"/>
      <c r="I439" s="197">
        <f t="shared" si="107"/>
        <v>1</v>
      </c>
      <c r="J439" s="994"/>
      <c r="K439" s="197">
        <f t="shared" si="108"/>
        <v>1</v>
      </c>
      <c r="L439" s="994"/>
      <c r="M439" s="197">
        <f t="shared" si="109"/>
        <v>1</v>
      </c>
      <c r="N439" s="994"/>
      <c r="O439" s="197">
        <f t="shared" si="110"/>
        <v>1</v>
      </c>
      <c r="P439" s="994"/>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4"/>
      <c r="E440" s="197">
        <f t="shared" si="105"/>
        <v>0</v>
      </c>
      <c r="F440" s="994"/>
      <c r="G440" s="197">
        <f t="shared" si="106"/>
        <v>1</v>
      </c>
      <c r="H440" s="994"/>
      <c r="I440" s="197">
        <f t="shared" si="107"/>
        <v>1</v>
      </c>
      <c r="J440" s="994"/>
      <c r="K440" s="197">
        <f t="shared" si="108"/>
        <v>1</v>
      </c>
      <c r="L440" s="994"/>
      <c r="M440" s="197">
        <f t="shared" si="109"/>
        <v>1</v>
      </c>
      <c r="N440" s="994"/>
      <c r="O440" s="197">
        <f t="shared" si="110"/>
        <v>1</v>
      </c>
      <c r="P440" s="994"/>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4"/>
      <c r="E441" s="197">
        <f t="shared" si="105"/>
        <v>0</v>
      </c>
      <c r="F441" s="994"/>
      <c r="G441" s="197">
        <f t="shared" si="106"/>
        <v>1</v>
      </c>
      <c r="H441" s="994"/>
      <c r="I441" s="197">
        <f t="shared" si="107"/>
        <v>1</v>
      </c>
      <c r="J441" s="994"/>
      <c r="K441" s="197">
        <f t="shared" si="108"/>
        <v>1</v>
      </c>
      <c r="L441" s="994"/>
      <c r="M441" s="197">
        <f t="shared" si="109"/>
        <v>1</v>
      </c>
      <c r="N441" s="994"/>
      <c r="O441" s="197">
        <f t="shared" si="110"/>
        <v>1</v>
      </c>
      <c r="P441" s="994"/>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4"/>
      <c r="E442" s="197">
        <f t="shared" si="105"/>
        <v>0</v>
      </c>
      <c r="F442" s="994"/>
      <c r="G442" s="197">
        <f t="shared" si="106"/>
        <v>1</v>
      </c>
      <c r="H442" s="994"/>
      <c r="I442" s="197">
        <f t="shared" si="107"/>
        <v>1</v>
      </c>
      <c r="J442" s="994"/>
      <c r="K442" s="197">
        <f t="shared" si="108"/>
        <v>1</v>
      </c>
      <c r="L442" s="994"/>
      <c r="M442" s="197">
        <f t="shared" si="109"/>
        <v>1</v>
      </c>
      <c r="N442" s="994"/>
      <c r="O442" s="197">
        <f t="shared" si="110"/>
        <v>1</v>
      </c>
      <c r="P442" s="994"/>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4"/>
      <c r="E443" s="197">
        <f t="shared" si="105"/>
        <v>0</v>
      </c>
      <c r="F443" s="994"/>
      <c r="G443" s="197">
        <f t="shared" si="106"/>
        <v>1</v>
      </c>
      <c r="H443" s="994"/>
      <c r="I443" s="197">
        <f t="shared" si="107"/>
        <v>1</v>
      </c>
      <c r="J443" s="994"/>
      <c r="K443" s="197">
        <f t="shared" si="108"/>
        <v>1</v>
      </c>
      <c r="L443" s="994"/>
      <c r="M443" s="197">
        <f t="shared" si="109"/>
        <v>1</v>
      </c>
      <c r="N443" s="994"/>
      <c r="O443" s="197">
        <f t="shared" si="110"/>
        <v>1</v>
      </c>
      <c r="P443" s="994"/>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4"/>
      <c r="E444" s="197">
        <f t="shared" si="105"/>
        <v>0</v>
      </c>
      <c r="F444" s="994"/>
      <c r="G444" s="197">
        <f t="shared" si="106"/>
        <v>1</v>
      </c>
      <c r="H444" s="994"/>
      <c r="I444" s="197">
        <f t="shared" si="107"/>
        <v>1</v>
      </c>
      <c r="J444" s="994"/>
      <c r="K444" s="197">
        <f t="shared" si="108"/>
        <v>1</v>
      </c>
      <c r="L444" s="994"/>
      <c r="M444" s="197">
        <f t="shared" si="109"/>
        <v>1</v>
      </c>
      <c r="N444" s="994"/>
      <c r="O444" s="197">
        <f t="shared" si="110"/>
        <v>1</v>
      </c>
      <c r="P444" s="994"/>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4"/>
      <c r="E445" s="197">
        <f t="shared" si="105"/>
        <v>0</v>
      </c>
      <c r="F445" s="994"/>
      <c r="G445" s="197">
        <f t="shared" si="106"/>
        <v>1</v>
      </c>
      <c r="H445" s="994"/>
      <c r="I445" s="197">
        <f t="shared" si="107"/>
        <v>1</v>
      </c>
      <c r="J445" s="994"/>
      <c r="K445" s="197">
        <f t="shared" si="108"/>
        <v>1</v>
      </c>
      <c r="L445" s="994"/>
      <c r="M445" s="197">
        <f t="shared" si="109"/>
        <v>1</v>
      </c>
      <c r="N445" s="994"/>
      <c r="O445" s="197">
        <f t="shared" si="110"/>
        <v>1</v>
      </c>
      <c r="P445" s="994"/>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4"/>
      <c r="E446" s="197">
        <f t="shared" si="105"/>
        <v>0</v>
      </c>
      <c r="F446" s="994"/>
      <c r="G446" s="197">
        <f t="shared" si="106"/>
        <v>1</v>
      </c>
      <c r="H446" s="994"/>
      <c r="I446" s="197">
        <f t="shared" si="107"/>
        <v>1</v>
      </c>
      <c r="J446" s="994"/>
      <c r="K446" s="197">
        <f t="shared" si="108"/>
        <v>1</v>
      </c>
      <c r="L446" s="994"/>
      <c r="M446" s="197">
        <f t="shared" si="109"/>
        <v>1</v>
      </c>
      <c r="N446" s="994"/>
      <c r="O446" s="197">
        <f t="shared" si="110"/>
        <v>1</v>
      </c>
      <c r="P446" s="994"/>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4"/>
      <c r="E447" s="197">
        <f t="shared" si="105"/>
        <v>0</v>
      </c>
      <c r="F447" s="994"/>
      <c r="G447" s="197">
        <f t="shared" si="106"/>
        <v>1</v>
      </c>
      <c r="H447" s="994"/>
      <c r="I447" s="197">
        <f t="shared" si="107"/>
        <v>1</v>
      </c>
      <c r="J447" s="994"/>
      <c r="K447" s="197">
        <f t="shared" si="108"/>
        <v>1</v>
      </c>
      <c r="L447" s="994"/>
      <c r="M447" s="197">
        <f t="shared" si="109"/>
        <v>1</v>
      </c>
      <c r="N447" s="994"/>
      <c r="O447" s="197">
        <f t="shared" si="110"/>
        <v>1</v>
      </c>
      <c r="P447" s="994"/>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4"/>
      <c r="E448" s="197">
        <f t="shared" si="105"/>
        <v>0</v>
      </c>
      <c r="F448" s="994"/>
      <c r="G448" s="197">
        <f t="shared" si="106"/>
        <v>1</v>
      </c>
      <c r="H448" s="994"/>
      <c r="I448" s="197">
        <f t="shared" si="107"/>
        <v>1</v>
      </c>
      <c r="J448" s="994"/>
      <c r="K448" s="197">
        <f t="shared" si="108"/>
        <v>1</v>
      </c>
      <c r="L448" s="994"/>
      <c r="M448" s="197">
        <f t="shared" si="109"/>
        <v>1</v>
      </c>
      <c r="N448" s="994"/>
      <c r="O448" s="197">
        <f t="shared" si="110"/>
        <v>1</v>
      </c>
      <c r="P448" s="994"/>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4"/>
      <c r="E449" s="197">
        <f t="shared" si="105"/>
        <v>0</v>
      </c>
      <c r="F449" s="994"/>
      <c r="G449" s="197">
        <f t="shared" si="106"/>
        <v>1</v>
      </c>
      <c r="H449" s="994"/>
      <c r="I449" s="197">
        <f t="shared" si="107"/>
        <v>1</v>
      </c>
      <c r="J449" s="994"/>
      <c r="K449" s="197">
        <f t="shared" si="108"/>
        <v>1</v>
      </c>
      <c r="L449" s="994"/>
      <c r="M449" s="197">
        <f t="shared" si="109"/>
        <v>1</v>
      </c>
      <c r="N449" s="994"/>
      <c r="O449" s="197">
        <f t="shared" si="110"/>
        <v>1</v>
      </c>
      <c r="P449" s="994"/>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4"/>
      <c r="E450" s="197">
        <f t="shared" si="105"/>
        <v>0</v>
      </c>
      <c r="F450" s="994"/>
      <c r="G450" s="197">
        <f t="shared" si="106"/>
        <v>1</v>
      </c>
      <c r="H450" s="994"/>
      <c r="I450" s="197">
        <f t="shared" si="107"/>
        <v>1</v>
      </c>
      <c r="J450" s="994"/>
      <c r="K450" s="197">
        <f t="shared" si="108"/>
        <v>1</v>
      </c>
      <c r="L450" s="994"/>
      <c r="M450" s="197">
        <f t="shared" si="109"/>
        <v>1</v>
      </c>
      <c r="N450" s="994"/>
      <c r="O450" s="197">
        <f t="shared" si="110"/>
        <v>1</v>
      </c>
      <c r="P450" s="994"/>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4"/>
      <c r="E451" s="197">
        <f t="shared" si="105"/>
        <v>0</v>
      </c>
      <c r="F451" s="994"/>
      <c r="G451" s="197">
        <f t="shared" si="106"/>
        <v>1</v>
      </c>
      <c r="H451" s="994"/>
      <c r="I451" s="197">
        <f t="shared" si="107"/>
        <v>1</v>
      </c>
      <c r="J451" s="994"/>
      <c r="K451" s="197">
        <f t="shared" si="108"/>
        <v>1</v>
      </c>
      <c r="L451" s="994"/>
      <c r="M451" s="197">
        <f t="shared" si="109"/>
        <v>1</v>
      </c>
      <c r="N451" s="994"/>
      <c r="O451" s="197">
        <f t="shared" si="110"/>
        <v>1</v>
      </c>
      <c r="P451" s="994"/>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4"/>
      <c r="E452" s="197">
        <f t="shared" si="105"/>
        <v>0</v>
      </c>
      <c r="F452" s="994"/>
      <c r="G452" s="197">
        <f t="shared" si="106"/>
        <v>1</v>
      </c>
      <c r="H452" s="994"/>
      <c r="I452" s="197">
        <f t="shared" si="107"/>
        <v>1</v>
      </c>
      <c r="J452" s="994"/>
      <c r="K452" s="197">
        <f t="shared" si="108"/>
        <v>1</v>
      </c>
      <c r="L452" s="994"/>
      <c r="M452" s="197">
        <f t="shared" si="109"/>
        <v>1</v>
      </c>
      <c r="N452" s="994"/>
      <c r="O452" s="197">
        <f t="shared" si="110"/>
        <v>1</v>
      </c>
      <c r="P452" s="994"/>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4"/>
      <c r="E453" s="197">
        <f t="shared" si="105"/>
        <v>0</v>
      </c>
      <c r="F453" s="994"/>
      <c r="G453" s="197">
        <f t="shared" si="106"/>
        <v>1</v>
      </c>
      <c r="H453" s="994"/>
      <c r="I453" s="197">
        <f t="shared" si="107"/>
        <v>1</v>
      </c>
      <c r="J453" s="994"/>
      <c r="K453" s="197">
        <f t="shared" si="108"/>
        <v>1</v>
      </c>
      <c r="L453" s="994"/>
      <c r="M453" s="197">
        <f t="shared" si="109"/>
        <v>1</v>
      </c>
      <c r="N453" s="994"/>
      <c r="O453" s="197">
        <f t="shared" si="110"/>
        <v>1</v>
      </c>
      <c r="P453" s="994"/>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4"/>
      <c r="E454" s="197">
        <f t="shared" si="105"/>
        <v>0</v>
      </c>
      <c r="F454" s="994"/>
      <c r="G454" s="197">
        <f t="shared" si="106"/>
        <v>1</v>
      </c>
      <c r="H454" s="994"/>
      <c r="I454" s="197">
        <f t="shared" si="107"/>
        <v>1</v>
      </c>
      <c r="J454" s="994"/>
      <c r="K454" s="197">
        <f t="shared" si="108"/>
        <v>1</v>
      </c>
      <c r="L454" s="994"/>
      <c r="M454" s="197">
        <f t="shared" si="109"/>
        <v>1</v>
      </c>
      <c r="N454" s="994"/>
      <c r="O454" s="197">
        <f t="shared" si="110"/>
        <v>1</v>
      </c>
      <c r="P454" s="994"/>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4"/>
      <c r="E455" s="197">
        <f t="shared" si="105"/>
        <v>0</v>
      </c>
      <c r="F455" s="994"/>
      <c r="G455" s="197">
        <f t="shared" si="106"/>
        <v>1</v>
      </c>
      <c r="H455" s="994"/>
      <c r="I455" s="197">
        <f t="shared" si="107"/>
        <v>1</v>
      </c>
      <c r="J455" s="994"/>
      <c r="K455" s="197">
        <f t="shared" si="108"/>
        <v>1</v>
      </c>
      <c r="L455" s="994"/>
      <c r="M455" s="197">
        <f t="shared" si="109"/>
        <v>1</v>
      </c>
      <c r="N455" s="994"/>
      <c r="O455" s="197">
        <f t="shared" si="110"/>
        <v>1</v>
      </c>
      <c r="P455" s="994"/>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4"/>
      <c r="E456" s="197">
        <f t="shared" si="105"/>
        <v>0</v>
      </c>
      <c r="F456" s="994"/>
      <c r="G456" s="197">
        <f t="shared" si="106"/>
        <v>1</v>
      </c>
      <c r="H456" s="994"/>
      <c r="I456" s="197">
        <f t="shared" si="107"/>
        <v>1</v>
      </c>
      <c r="J456" s="994"/>
      <c r="K456" s="197">
        <f t="shared" si="108"/>
        <v>1</v>
      </c>
      <c r="L456" s="994"/>
      <c r="M456" s="197">
        <f t="shared" si="109"/>
        <v>1</v>
      </c>
      <c r="N456" s="994"/>
      <c r="O456" s="197">
        <f t="shared" si="110"/>
        <v>1</v>
      </c>
      <c r="P456" s="994"/>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4"/>
      <c r="E457" s="197">
        <f t="shared" si="105"/>
        <v>0</v>
      </c>
      <c r="F457" s="994"/>
      <c r="G457" s="197">
        <f t="shared" si="106"/>
        <v>1</v>
      </c>
      <c r="H457" s="994"/>
      <c r="I457" s="197">
        <f t="shared" si="107"/>
        <v>1</v>
      </c>
      <c r="J457" s="994"/>
      <c r="K457" s="197">
        <f t="shared" si="108"/>
        <v>1</v>
      </c>
      <c r="L457" s="994"/>
      <c r="M457" s="197">
        <f t="shared" si="109"/>
        <v>1</v>
      </c>
      <c r="N457" s="994"/>
      <c r="O457" s="197">
        <f t="shared" si="110"/>
        <v>1</v>
      </c>
      <c r="P457" s="994"/>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4"/>
      <c r="E458" s="197">
        <f t="shared" si="105"/>
        <v>0</v>
      </c>
      <c r="F458" s="994"/>
      <c r="G458" s="197">
        <f t="shared" si="106"/>
        <v>1</v>
      </c>
      <c r="H458" s="994"/>
      <c r="I458" s="197">
        <f t="shared" si="107"/>
        <v>1</v>
      </c>
      <c r="J458" s="994"/>
      <c r="K458" s="197">
        <f t="shared" si="108"/>
        <v>1</v>
      </c>
      <c r="L458" s="994"/>
      <c r="M458" s="197">
        <f t="shared" si="109"/>
        <v>1</v>
      </c>
      <c r="N458" s="994"/>
      <c r="O458" s="197">
        <f t="shared" si="110"/>
        <v>1</v>
      </c>
      <c r="P458" s="994"/>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4"/>
      <c r="E459" s="197">
        <f t="shared" si="105"/>
        <v>0</v>
      </c>
      <c r="F459" s="994"/>
      <c r="G459" s="197">
        <f t="shared" si="106"/>
        <v>1</v>
      </c>
      <c r="H459" s="994"/>
      <c r="I459" s="197">
        <f t="shared" si="107"/>
        <v>1</v>
      </c>
      <c r="J459" s="994"/>
      <c r="K459" s="197">
        <f t="shared" si="108"/>
        <v>1</v>
      </c>
      <c r="L459" s="994"/>
      <c r="M459" s="197">
        <f t="shared" si="109"/>
        <v>1</v>
      </c>
      <c r="N459" s="994"/>
      <c r="O459" s="197">
        <f t="shared" si="110"/>
        <v>1</v>
      </c>
      <c r="P459" s="994"/>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4"/>
      <c r="E460" s="197">
        <f t="shared" si="105"/>
        <v>0</v>
      </c>
      <c r="F460" s="994"/>
      <c r="G460" s="197">
        <f t="shared" si="106"/>
        <v>1</v>
      </c>
      <c r="H460" s="994"/>
      <c r="I460" s="197">
        <f t="shared" si="107"/>
        <v>1</v>
      </c>
      <c r="J460" s="994"/>
      <c r="K460" s="197">
        <f t="shared" si="108"/>
        <v>1</v>
      </c>
      <c r="L460" s="994"/>
      <c r="M460" s="197">
        <f t="shared" si="109"/>
        <v>1</v>
      </c>
      <c r="N460" s="994"/>
      <c r="O460" s="197">
        <f t="shared" si="110"/>
        <v>1</v>
      </c>
      <c r="P460" s="994"/>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4"/>
      <c r="E461" s="197">
        <f t="shared" si="105"/>
        <v>0</v>
      </c>
      <c r="F461" s="994"/>
      <c r="G461" s="197">
        <f t="shared" si="106"/>
        <v>1</v>
      </c>
      <c r="H461" s="994"/>
      <c r="I461" s="197">
        <f t="shared" si="107"/>
        <v>1</v>
      </c>
      <c r="J461" s="994"/>
      <c r="K461" s="197">
        <f t="shared" si="108"/>
        <v>1</v>
      </c>
      <c r="L461" s="994"/>
      <c r="M461" s="197">
        <f t="shared" si="109"/>
        <v>1</v>
      </c>
      <c r="N461" s="994"/>
      <c r="O461" s="197">
        <f t="shared" si="110"/>
        <v>1</v>
      </c>
      <c r="P461" s="994"/>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4"/>
      <c r="E462" s="197">
        <f t="shared" si="105"/>
        <v>0</v>
      </c>
      <c r="F462" s="994"/>
      <c r="G462" s="197">
        <f t="shared" si="106"/>
        <v>1</v>
      </c>
      <c r="H462" s="994"/>
      <c r="I462" s="197">
        <f t="shared" si="107"/>
        <v>1</v>
      </c>
      <c r="J462" s="994"/>
      <c r="K462" s="197">
        <f t="shared" si="108"/>
        <v>1</v>
      </c>
      <c r="L462" s="994"/>
      <c r="M462" s="197">
        <f t="shared" si="109"/>
        <v>1</v>
      </c>
      <c r="N462" s="994"/>
      <c r="O462" s="197">
        <f t="shared" si="110"/>
        <v>1</v>
      </c>
      <c r="P462" s="994"/>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4"/>
      <c r="E463" s="197">
        <f t="shared" si="105"/>
        <v>0</v>
      </c>
      <c r="F463" s="994"/>
      <c r="G463" s="197">
        <f t="shared" si="106"/>
        <v>1</v>
      </c>
      <c r="H463" s="994"/>
      <c r="I463" s="197">
        <f t="shared" si="107"/>
        <v>1</v>
      </c>
      <c r="J463" s="994"/>
      <c r="K463" s="197">
        <f t="shared" si="108"/>
        <v>1</v>
      </c>
      <c r="L463" s="994"/>
      <c r="M463" s="197">
        <f t="shared" si="109"/>
        <v>1</v>
      </c>
      <c r="N463" s="994"/>
      <c r="O463" s="197">
        <f t="shared" si="110"/>
        <v>1</v>
      </c>
      <c r="P463" s="994"/>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4"/>
      <c r="E464" s="197">
        <f t="shared" si="105"/>
        <v>0</v>
      </c>
      <c r="F464" s="994"/>
      <c r="G464" s="197">
        <f t="shared" si="106"/>
        <v>1</v>
      </c>
      <c r="H464" s="994"/>
      <c r="I464" s="197">
        <f t="shared" si="107"/>
        <v>1</v>
      </c>
      <c r="J464" s="994"/>
      <c r="K464" s="197">
        <f t="shared" si="108"/>
        <v>1</v>
      </c>
      <c r="L464" s="994"/>
      <c r="M464" s="197">
        <f t="shared" si="109"/>
        <v>1</v>
      </c>
      <c r="N464" s="994"/>
      <c r="O464" s="197">
        <f t="shared" si="110"/>
        <v>1</v>
      </c>
      <c r="P464" s="994"/>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4"/>
      <c r="E465" s="197">
        <f t="shared" si="105"/>
        <v>0</v>
      </c>
      <c r="F465" s="994"/>
      <c r="G465" s="197">
        <f t="shared" si="106"/>
        <v>1</v>
      </c>
      <c r="H465" s="994"/>
      <c r="I465" s="197">
        <f t="shared" si="107"/>
        <v>1</v>
      </c>
      <c r="J465" s="994"/>
      <c r="K465" s="197">
        <f t="shared" si="108"/>
        <v>1</v>
      </c>
      <c r="L465" s="994"/>
      <c r="M465" s="197">
        <f t="shared" si="109"/>
        <v>1</v>
      </c>
      <c r="N465" s="994"/>
      <c r="O465" s="197">
        <f t="shared" si="110"/>
        <v>1</v>
      </c>
      <c r="P465" s="994"/>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4"/>
      <c r="E466" s="197">
        <f t="shared" si="105"/>
        <v>0</v>
      </c>
      <c r="F466" s="994"/>
      <c r="G466" s="197">
        <f t="shared" si="106"/>
        <v>1</v>
      </c>
      <c r="H466" s="994"/>
      <c r="I466" s="197">
        <f t="shared" si="107"/>
        <v>1</v>
      </c>
      <c r="J466" s="994"/>
      <c r="K466" s="197">
        <f t="shared" si="108"/>
        <v>1</v>
      </c>
      <c r="L466" s="994"/>
      <c r="M466" s="197">
        <f t="shared" si="109"/>
        <v>1</v>
      </c>
      <c r="N466" s="994"/>
      <c r="O466" s="197">
        <f t="shared" si="110"/>
        <v>1</v>
      </c>
      <c r="P466" s="994"/>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4"/>
      <c r="E467" s="197">
        <f t="shared" si="105"/>
        <v>0</v>
      </c>
      <c r="F467" s="994"/>
      <c r="G467" s="197">
        <f t="shared" si="106"/>
        <v>1</v>
      </c>
      <c r="H467" s="994"/>
      <c r="I467" s="197">
        <f t="shared" si="107"/>
        <v>1</v>
      </c>
      <c r="J467" s="994"/>
      <c r="K467" s="197">
        <f t="shared" si="108"/>
        <v>1</v>
      </c>
      <c r="L467" s="994"/>
      <c r="M467" s="197">
        <f t="shared" si="109"/>
        <v>1</v>
      </c>
      <c r="N467" s="994"/>
      <c r="O467" s="197">
        <f t="shared" si="110"/>
        <v>1</v>
      </c>
      <c r="P467" s="994"/>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4"/>
      <c r="E468" s="197">
        <f t="shared" si="105"/>
        <v>0</v>
      </c>
      <c r="F468" s="994"/>
      <c r="G468" s="197">
        <f t="shared" si="106"/>
        <v>1</v>
      </c>
      <c r="H468" s="994"/>
      <c r="I468" s="197">
        <f t="shared" si="107"/>
        <v>1</v>
      </c>
      <c r="J468" s="994"/>
      <c r="K468" s="197">
        <f t="shared" si="108"/>
        <v>1</v>
      </c>
      <c r="L468" s="994"/>
      <c r="M468" s="197">
        <f t="shared" si="109"/>
        <v>1</v>
      </c>
      <c r="N468" s="994"/>
      <c r="O468" s="197">
        <f t="shared" si="110"/>
        <v>1</v>
      </c>
      <c r="P468" s="994"/>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4"/>
      <c r="E469" s="197">
        <f t="shared" si="105"/>
        <v>0</v>
      </c>
      <c r="F469" s="994"/>
      <c r="G469" s="197">
        <f t="shared" si="106"/>
        <v>1</v>
      </c>
      <c r="H469" s="994"/>
      <c r="I469" s="197">
        <f t="shared" si="107"/>
        <v>1</v>
      </c>
      <c r="J469" s="994"/>
      <c r="K469" s="197">
        <f t="shared" si="108"/>
        <v>1</v>
      </c>
      <c r="L469" s="994"/>
      <c r="M469" s="197">
        <f t="shared" si="109"/>
        <v>1</v>
      </c>
      <c r="N469" s="994"/>
      <c r="O469" s="197">
        <f t="shared" si="110"/>
        <v>1</v>
      </c>
      <c r="P469" s="994"/>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4"/>
      <c r="E470" s="197">
        <f t="shared" si="105"/>
        <v>0</v>
      </c>
      <c r="F470" s="994"/>
      <c r="G470" s="197">
        <f t="shared" si="106"/>
        <v>1</v>
      </c>
      <c r="H470" s="994"/>
      <c r="I470" s="197">
        <f t="shared" si="107"/>
        <v>1</v>
      </c>
      <c r="J470" s="994"/>
      <c r="K470" s="197">
        <f t="shared" si="108"/>
        <v>1</v>
      </c>
      <c r="L470" s="994"/>
      <c r="M470" s="197">
        <f t="shared" si="109"/>
        <v>1</v>
      </c>
      <c r="N470" s="994"/>
      <c r="O470" s="197">
        <f t="shared" si="110"/>
        <v>1</v>
      </c>
      <c r="P470" s="994"/>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4"/>
      <c r="E471" s="197">
        <f t="shared" si="105"/>
        <v>0</v>
      </c>
      <c r="F471" s="994"/>
      <c r="G471" s="197">
        <f t="shared" si="106"/>
        <v>1</v>
      </c>
      <c r="H471" s="994"/>
      <c r="I471" s="197">
        <f t="shared" si="107"/>
        <v>1</v>
      </c>
      <c r="J471" s="994"/>
      <c r="K471" s="197">
        <f t="shared" si="108"/>
        <v>1</v>
      </c>
      <c r="L471" s="994"/>
      <c r="M471" s="197">
        <f t="shared" si="109"/>
        <v>1</v>
      </c>
      <c r="N471" s="994"/>
      <c r="O471" s="197">
        <f t="shared" si="110"/>
        <v>1</v>
      </c>
      <c r="P471" s="994"/>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4"/>
      <c r="E472" s="197">
        <f t="shared" si="105"/>
        <v>0</v>
      </c>
      <c r="F472" s="994"/>
      <c r="G472" s="197">
        <f t="shared" si="106"/>
        <v>1</v>
      </c>
      <c r="H472" s="994"/>
      <c r="I472" s="197">
        <f t="shared" si="107"/>
        <v>1</v>
      </c>
      <c r="J472" s="994"/>
      <c r="K472" s="197">
        <f t="shared" si="108"/>
        <v>1</v>
      </c>
      <c r="L472" s="994"/>
      <c r="M472" s="197">
        <f t="shared" si="109"/>
        <v>1</v>
      </c>
      <c r="N472" s="994"/>
      <c r="O472" s="197">
        <f t="shared" si="110"/>
        <v>1</v>
      </c>
      <c r="P472" s="994"/>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4"/>
      <c r="E473" s="197">
        <f t="shared" si="105"/>
        <v>0</v>
      </c>
      <c r="F473" s="994"/>
      <c r="G473" s="197">
        <f t="shared" si="106"/>
        <v>1</v>
      </c>
      <c r="H473" s="994"/>
      <c r="I473" s="197">
        <f t="shared" si="107"/>
        <v>1</v>
      </c>
      <c r="J473" s="994"/>
      <c r="K473" s="197">
        <f t="shared" si="108"/>
        <v>1</v>
      </c>
      <c r="L473" s="994"/>
      <c r="M473" s="197">
        <f t="shared" si="109"/>
        <v>1</v>
      </c>
      <c r="N473" s="994"/>
      <c r="O473" s="197">
        <f t="shared" si="110"/>
        <v>1</v>
      </c>
      <c r="P473" s="994"/>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4"/>
      <c r="E474" s="197">
        <f t="shared" si="105"/>
        <v>0</v>
      </c>
      <c r="F474" s="994"/>
      <c r="G474" s="197">
        <f t="shared" si="106"/>
        <v>1</v>
      </c>
      <c r="H474" s="994"/>
      <c r="I474" s="197">
        <f t="shared" si="107"/>
        <v>1</v>
      </c>
      <c r="J474" s="994"/>
      <c r="K474" s="197">
        <f t="shared" si="108"/>
        <v>1</v>
      </c>
      <c r="L474" s="994"/>
      <c r="M474" s="197">
        <f t="shared" si="109"/>
        <v>1</v>
      </c>
      <c r="N474" s="994"/>
      <c r="O474" s="197">
        <f t="shared" si="110"/>
        <v>1</v>
      </c>
      <c r="P474" s="994"/>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4"/>
      <c r="E475" s="197">
        <f t="shared" si="105"/>
        <v>0</v>
      </c>
      <c r="F475" s="994"/>
      <c r="G475" s="197">
        <f t="shared" si="106"/>
        <v>1</v>
      </c>
      <c r="H475" s="994"/>
      <c r="I475" s="197">
        <f t="shared" si="107"/>
        <v>1</v>
      </c>
      <c r="J475" s="994"/>
      <c r="K475" s="197">
        <f t="shared" si="108"/>
        <v>1</v>
      </c>
      <c r="L475" s="994"/>
      <c r="M475" s="197">
        <f t="shared" si="109"/>
        <v>1</v>
      </c>
      <c r="N475" s="994"/>
      <c r="O475" s="197">
        <f t="shared" si="110"/>
        <v>1</v>
      </c>
      <c r="P475" s="994"/>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4"/>
      <c r="E476" s="197">
        <f t="shared" ref="E476:E527" si="120">(SUMIF($8:$8,D476,$9:$9)-SUMIF($8:$8,$D$27,$9:$9)+100)/100</f>
        <v>0</v>
      </c>
      <c r="F476" s="994"/>
      <c r="G476" s="197">
        <f t="shared" ref="G476:G527" si="121">(SUMIF($10:$10,F476,$11:$11)-SUMIF($10:$10,$F$27,$11:$11)+100)/100</f>
        <v>1</v>
      </c>
      <c r="H476" s="994"/>
      <c r="I476" s="197">
        <f t="shared" ref="I476:I527" si="122">(SUMIF($12:$12,H476,$13:$13)-SUMIF($12:$12,$H$27,$13:$13)+100)/100</f>
        <v>1</v>
      </c>
      <c r="J476" s="994"/>
      <c r="K476" s="197">
        <f t="shared" ref="K476:K527" si="123">(SUMIF($14:$14,J476,$15:$15)-SUMIF($14:$14,$J$27,$15:$15)+100)/100</f>
        <v>1</v>
      </c>
      <c r="L476" s="994"/>
      <c r="M476" s="197">
        <f t="shared" ref="M476:M527" si="124">(SUMIF($16:$16,L476,$17:$17)-SUMIF($16:$16,$L$27,$17:$17)+100)/100</f>
        <v>1</v>
      </c>
      <c r="N476" s="994"/>
      <c r="O476" s="197">
        <f t="shared" ref="O476:O527" si="125">(SUMIF($18:$18,N476,$19:$19)-SUMIF($18:$18,$N$27,$19:$19)+100)/100</f>
        <v>1</v>
      </c>
      <c r="P476" s="994"/>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4"/>
      <c r="E477" s="197">
        <f t="shared" si="120"/>
        <v>0</v>
      </c>
      <c r="F477" s="994"/>
      <c r="G477" s="197">
        <f t="shared" si="121"/>
        <v>1</v>
      </c>
      <c r="H477" s="994"/>
      <c r="I477" s="197">
        <f t="shared" si="122"/>
        <v>1</v>
      </c>
      <c r="J477" s="994"/>
      <c r="K477" s="197">
        <f t="shared" si="123"/>
        <v>1</v>
      </c>
      <c r="L477" s="994"/>
      <c r="M477" s="197">
        <f t="shared" si="124"/>
        <v>1</v>
      </c>
      <c r="N477" s="994"/>
      <c r="O477" s="197">
        <f t="shared" si="125"/>
        <v>1</v>
      </c>
      <c r="P477" s="994"/>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4"/>
      <c r="E478" s="197">
        <f t="shared" si="120"/>
        <v>0</v>
      </c>
      <c r="F478" s="994"/>
      <c r="G478" s="197">
        <f t="shared" si="121"/>
        <v>1</v>
      </c>
      <c r="H478" s="994"/>
      <c r="I478" s="197">
        <f t="shared" si="122"/>
        <v>1</v>
      </c>
      <c r="J478" s="994"/>
      <c r="K478" s="197">
        <f t="shared" si="123"/>
        <v>1</v>
      </c>
      <c r="L478" s="994"/>
      <c r="M478" s="197">
        <f t="shared" si="124"/>
        <v>1</v>
      </c>
      <c r="N478" s="994"/>
      <c r="O478" s="197">
        <f t="shared" si="125"/>
        <v>1</v>
      </c>
      <c r="P478" s="994"/>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4"/>
      <c r="E479" s="197">
        <f t="shared" si="120"/>
        <v>0</v>
      </c>
      <c r="F479" s="994"/>
      <c r="G479" s="197">
        <f t="shared" si="121"/>
        <v>1</v>
      </c>
      <c r="H479" s="994"/>
      <c r="I479" s="197">
        <f t="shared" si="122"/>
        <v>1</v>
      </c>
      <c r="J479" s="994"/>
      <c r="K479" s="197">
        <f t="shared" si="123"/>
        <v>1</v>
      </c>
      <c r="L479" s="994"/>
      <c r="M479" s="197">
        <f t="shared" si="124"/>
        <v>1</v>
      </c>
      <c r="N479" s="994"/>
      <c r="O479" s="197">
        <f t="shared" si="125"/>
        <v>1</v>
      </c>
      <c r="P479" s="994"/>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4"/>
      <c r="E480" s="197">
        <f t="shared" si="120"/>
        <v>0</v>
      </c>
      <c r="F480" s="994"/>
      <c r="G480" s="197">
        <f t="shared" si="121"/>
        <v>1</v>
      </c>
      <c r="H480" s="994"/>
      <c r="I480" s="197">
        <f t="shared" si="122"/>
        <v>1</v>
      </c>
      <c r="J480" s="994"/>
      <c r="K480" s="197">
        <f t="shared" si="123"/>
        <v>1</v>
      </c>
      <c r="L480" s="994"/>
      <c r="M480" s="197">
        <f t="shared" si="124"/>
        <v>1</v>
      </c>
      <c r="N480" s="994"/>
      <c r="O480" s="197">
        <f t="shared" si="125"/>
        <v>1</v>
      </c>
      <c r="P480" s="994"/>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4"/>
      <c r="E481" s="197">
        <f t="shared" si="120"/>
        <v>0</v>
      </c>
      <c r="F481" s="994"/>
      <c r="G481" s="197">
        <f t="shared" si="121"/>
        <v>1</v>
      </c>
      <c r="H481" s="994"/>
      <c r="I481" s="197">
        <f t="shared" si="122"/>
        <v>1</v>
      </c>
      <c r="J481" s="994"/>
      <c r="K481" s="197">
        <f t="shared" si="123"/>
        <v>1</v>
      </c>
      <c r="L481" s="994"/>
      <c r="M481" s="197">
        <f t="shared" si="124"/>
        <v>1</v>
      </c>
      <c r="N481" s="994"/>
      <c r="O481" s="197">
        <f t="shared" si="125"/>
        <v>1</v>
      </c>
      <c r="P481" s="994"/>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4"/>
      <c r="E482" s="197">
        <f t="shared" si="120"/>
        <v>0</v>
      </c>
      <c r="F482" s="994"/>
      <c r="G482" s="197">
        <f t="shared" si="121"/>
        <v>1</v>
      </c>
      <c r="H482" s="994"/>
      <c r="I482" s="197">
        <f t="shared" si="122"/>
        <v>1</v>
      </c>
      <c r="J482" s="994"/>
      <c r="K482" s="197">
        <f t="shared" si="123"/>
        <v>1</v>
      </c>
      <c r="L482" s="994"/>
      <c r="M482" s="197">
        <f t="shared" si="124"/>
        <v>1</v>
      </c>
      <c r="N482" s="994"/>
      <c r="O482" s="197">
        <f t="shared" si="125"/>
        <v>1</v>
      </c>
      <c r="P482" s="994"/>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4"/>
      <c r="E483" s="197">
        <f t="shared" si="120"/>
        <v>0</v>
      </c>
      <c r="F483" s="994"/>
      <c r="G483" s="197">
        <f t="shared" si="121"/>
        <v>1</v>
      </c>
      <c r="H483" s="994"/>
      <c r="I483" s="197">
        <f t="shared" si="122"/>
        <v>1</v>
      </c>
      <c r="J483" s="994"/>
      <c r="K483" s="197">
        <f t="shared" si="123"/>
        <v>1</v>
      </c>
      <c r="L483" s="994"/>
      <c r="M483" s="197">
        <f t="shared" si="124"/>
        <v>1</v>
      </c>
      <c r="N483" s="994"/>
      <c r="O483" s="197">
        <f t="shared" si="125"/>
        <v>1</v>
      </c>
      <c r="P483" s="994"/>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4"/>
      <c r="E484" s="197">
        <f t="shared" si="120"/>
        <v>0</v>
      </c>
      <c r="F484" s="994"/>
      <c r="G484" s="197">
        <f t="shared" si="121"/>
        <v>1</v>
      </c>
      <c r="H484" s="994"/>
      <c r="I484" s="197">
        <f t="shared" si="122"/>
        <v>1</v>
      </c>
      <c r="J484" s="994"/>
      <c r="K484" s="197">
        <f t="shared" si="123"/>
        <v>1</v>
      </c>
      <c r="L484" s="994"/>
      <c r="M484" s="197">
        <f t="shared" si="124"/>
        <v>1</v>
      </c>
      <c r="N484" s="994"/>
      <c r="O484" s="197">
        <f t="shared" si="125"/>
        <v>1</v>
      </c>
      <c r="P484" s="994"/>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4"/>
      <c r="E485" s="197">
        <f t="shared" si="120"/>
        <v>0</v>
      </c>
      <c r="F485" s="994"/>
      <c r="G485" s="197">
        <f t="shared" si="121"/>
        <v>1</v>
      </c>
      <c r="H485" s="994"/>
      <c r="I485" s="197">
        <f t="shared" si="122"/>
        <v>1</v>
      </c>
      <c r="J485" s="994"/>
      <c r="K485" s="197">
        <f t="shared" si="123"/>
        <v>1</v>
      </c>
      <c r="L485" s="994"/>
      <c r="M485" s="197">
        <f t="shared" si="124"/>
        <v>1</v>
      </c>
      <c r="N485" s="994"/>
      <c r="O485" s="197">
        <f t="shared" si="125"/>
        <v>1</v>
      </c>
      <c r="P485" s="994"/>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4"/>
      <c r="E486" s="197">
        <f t="shared" si="120"/>
        <v>0</v>
      </c>
      <c r="F486" s="994"/>
      <c r="G486" s="197">
        <f t="shared" si="121"/>
        <v>1</v>
      </c>
      <c r="H486" s="994"/>
      <c r="I486" s="197">
        <f t="shared" si="122"/>
        <v>1</v>
      </c>
      <c r="J486" s="994"/>
      <c r="K486" s="197">
        <f t="shared" si="123"/>
        <v>1</v>
      </c>
      <c r="L486" s="994"/>
      <c r="M486" s="197">
        <f t="shared" si="124"/>
        <v>1</v>
      </c>
      <c r="N486" s="994"/>
      <c r="O486" s="197">
        <f t="shared" si="125"/>
        <v>1</v>
      </c>
      <c r="P486" s="994"/>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4"/>
      <c r="E487" s="197">
        <f t="shared" si="120"/>
        <v>0</v>
      </c>
      <c r="F487" s="994"/>
      <c r="G487" s="197">
        <f t="shared" si="121"/>
        <v>1</v>
      </c>
      <c r="H487" s="994"/>
      <c r="I487" s="197">
        <f t="shared" si="122"/>
        <v>1</v>
      </c>
      <c r="J487" s="994"/>
      <c r="K487" s="197">
        <f t="shared" si="123"/>
        <v>1</v>
      </c>
      <c r="L487" s="994"/>
      <c r="M487" s="197">
        <f t="shared" si="124"/>
        <v>1</v>
      </c>
      <c r="N487" s="994"/>
      <c r="O487" s="197">
        <f t="shared" si="125"/>
        <v>1</v>
      </c>
      <c r="P487" s="994"/>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4"/>
      <c r="E488" s="197">
        <f t="shared" si="120"/>
        <v>0</v>
      </c>
      <c r="F488" s="994"/>
      <c r="G488" s="197">
        <f t="shared" si="121"/>
        <v>1</v>
      </c>
      <c r="H488" s="994"/>
      <c r="I488" s="197">
        <f t="shared" si="122"/>
        <v>1</v>
      </c>
      <c r="J488" s="994"/>
      <c r="K488" s="197">
        <f t="shared" si="123"/>
        <v>1</v>
      </c>
      <c r="L488" s="994"/>
      <c r="M488" s="197">
        <f t="shared" si="124"/>
        <v>1</v>
      </c>
      <c r="N488" s="994"/>
      <c r="O488" s="197">
        <f t="shared" si="125"/>
        <v>1</v>
      </c>
      <c r="P488" s="994"/>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4"/>
      <c r="E489" s="197">
        <f t="shared" si="120"/>
        <v>0</v>
      </c>
      <c r="F489" s="994"/>
      <c r="G489" s="197">
        <f t="shared" si="121"/>
        <v>1</v>
      </c>
      <c r="H489" s="994"/>
      <c r="I489" s="197">
        <f t="shared" si="122"/>
        <v>1</v>
      </c>
      <c r="J489" s="994"/>
      <c r="K489" s="197">
        <f t="shared" si="123"/>
        <v>1</v>
      </c>
      <c r="L489" s="994"/>
      <c r="M489" s="197">
        <f t="shared" si="124"/>
        <v>1</v>
      </c>
      <c r="N489" s="994"/>
      <c r="O489" s="197">
        <f t="shared" si="125"/>
        <v>1</v>
      </c>
      <c r="P489" s="994"/>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4"/>
      <c r="E490" s="197">
        <f t="shared" si="120"/>
        <v>0</v>
      </c>
      <c r="F490" s="994"/>
      <c r="G490" s="197">
        <f t="shared" si="121"/>
        <v>1</v>
      </c>
      <c r="H490" s="994"/>
      <c r="I490" s="197">
        <f t="shared" si="122"/>
        <v>1</v>
      </c>
      <c r="J490" s="994"/>
      <c r="K490" s="197">
        <f t="shared" si="123"/>
        <v>1</v>
      </c>
      <c r="L490" s="994"/>
      <c r="M490" s="197">
        <f t="shared" si="124"/>
        <v>1</v>
      </c>
      <c r="N490" s="994"/>
      <c r="O490" s="197">
        <f t="shared" si="125"/>
        <v>1</v>
      </c>
      <c r="P490" s="994"/>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4"/>
      <c r="E491" s="197">
        <f t="shared" si="120"/>
        <v>0</v>
      </c>
      <c r="F491" s="994"/>
      <c r="G491" s="197">
        <f t="shared" si="121"/>
        <v>1</v>
      </c>
      <c r="H491" s="994"/>
      <c r="I491" s="197">
        <f t="shared" si="122"/>
        <v>1</v>
      </c>
      <c r="J491" s="994"/>
      <c r="K491" s="197">
        <f t="shared" si="123"/>
        <v>1</v>
      </c>
      <c r="L491" s="994"/>
      <c r="M491" s="197">
        <f t="shared" si="124"/>
        <v>1</v>
      </c>
      <c r="N491" s="994"/>
      <c r="O491" s="197">
        <f t="shared" si="125"/>
        <v>1</v>
      </c>
      <c r="P491" s="994"/>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4"/>
      <c r="E492" s="197">
        <f t="shared" si="120"/>
        <v>0</v>
      </c>
      <c r="F492" s="994"/>
      <c r="G492" s="197">
        <f t="shared" si="121"/>
        <v>1</v>
      </c>
      <c r="H492" s="994"/>
      <c r="I492" s="197">
        <f t="shared" si="122"/>
        <v>1</v>
      </c>
      <c r="J492" s="994"/>
      <c r="K492" s="197">
        <f t="shared" si="123"/>
        <v>1</v>
      </c>
      <c r="L492" s="994"/>
      <c r="M492" s="197">
        <f t="shared" si="124"/>
        <v>1</v>
      </c>
      <c r="N492" s="994"/>
      <c r="O492" s="197">
        <f t="shared" si="125"/>
        <v>1</v>
      </c>
      <c r="P492" s="994"/>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4"/>
      <c r="E493" s="197">
        <f t="shared" si="120"/>
        <v>0</v>
      </c>
      <c r="F493" s="994"/>
      <c r="G493" s="197">
        <f t="shared" si="121"/>
        <v>1</v>
      </c>
      <c r="H493" s="994"/>
      <c r="I493" s="197">
        <f t="shared" si="122"/>
        <v>1</v>
      </c>
      <c r="J493" s="994"/>
      <c r="K493" s="197">
        <f t="shared" si="123"/>
        <v>1</v>
      </c>
      <c r="L493" s="994"/>
      <c r="M493" s="197">
        <f t="shared" si="124"/>
        <v>1</v>
      </c>
      <c r="N493" s="994"/>
      <c r="O493" s="197">
        <f t="shared" si="125"/>
        <v>1</v>
      </c>
      <c r="P493" s="994"/>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4"/>
      <c r="E494" s="197">
        <f t="shared" si="120"/>
        <v>0</v>
      </c>
      <c r="F494" s="994"/>
      <c r="G494" s="197">
        <f t="shared" si="121"/>
        <v>1</v>
      </c>
      <c r="H494" s="994"/>
      <c r="I494" s="197">
        <f t="shared" si="122"/>
        <v>1</v>
      </c>
      <c r="J494" s="994"/>
      <c r="K494" s="197">
        <f t="shared" si="123"/>
        <v>1</v>
      </c>
      <c r="L494" s="994"/>
      <c r="M494" s="197">
        <f t="shared" si="124"/>
        <v>1</v>
      </c>
      <c r="N494" s="994"/>
      <c r="O494" s="197">
        <f t="shared" si="125"/>
        <v>1</v>
      </c>
      <c r="P494" s="994"/>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4"/>
      <c r="E495" s="197">
        <f t="shared" si="120"/>
        <v>0</v>
      </c>
      <c r="F495" s="994"/>
      <c r="G495" s="197">
        <f t="shared" si="121"/>
        <v>1</v>
      </c>
      <c r="H495" s="994"/>
      <c r="I495" s="197">
        <f t="shared" si="122"/>
        <v>1</v>
      </c>
      <c r="J495" s="994"/>
      <c r="K495" s="197">
        <f t="shared" si="123"/>
        <v>1</v>
      </c>
      <c r="L495" s="994"/>
      <c r="M495" s="197">
        <f t="shared" si="124"/>
        <v>1</v>
      </c>
      <c r="N495" s="994"/>
      <c r="O495" s="197">
        <f t="shared" si="125"/>
        <v>1</v>
      </c>
      <c r="P495" s="994"/>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4"/>
      <c r="E496" s="197">
        <f t="shared" si="120"/>
        <v>0</v>
      </c>
      <c r="F496" s="994"/>
      <c r="G496" s="197">
        <f t="shared" si="121"/>
        <v>1</v>
      </c>
      <c r="H496" s="994"/>
      <c r="I496" s="197">
        <f t="shared" si="122"/>
        <v>1</v>
      </c>
      <c r="J496" s="994"/>
      <c r="K496" s="197">
        <f t="shared" si="123"/>
        <v>1</v>
      </c>
      <c r="L496" s="994"/>
      <c r="M496" s="197">
        <f t="shared" si="124"/>
        <v>1</v>
      </c>
      <c r="N496" s="994"/>
      <c r="O496" s="197">
        <f t="shared" si="125"/>
        <v>1</v>
      </c>
      <c r="P496" s="994"/>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4"/>
      <c r="E497" s="197">
        <f t="shared" si="120"/>
        <v>0</v>
      </c>
      <c r="F497" s="994"/>
      <c r="G497" s="197">
        <f t="shared" si="121"/>
        <v>1</v>
      </c>
      <c r="H497" s="994"/>
      <c r="I497" s="197">
        <f t="shared" si="122"/>
        <v>1</v>
      </c>
      <c r="J497" s="994"/>
      <c r="K497" s="197">
        <f t="shared" si="123"/>
        <v>1</v>
      </c>
      <c r="L497" s="994"/>
      <c r="M497" s="197">
        <f t="shared" si="124"/>
        <v>1</v>
      </c>
      <c r="N497" s="994"/>
      <c r="O497" s="197">
        <f t="shared" si="125"/>
        <v>1</v>
      </c>
      <c r="P497" s="994"/>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4"/>
      <c r="E498" s="197">
        <f t="shared" si="120"/>
        <v>0</v>
      </c>
      <c r="F498" s="994"/>
      <c r="G498" s="197">
        <f t="shared" si="121"/>
        <v>1</v>
      </c>
      <c r="H498" s="994"/>
      <c r="I498" s="197">
        <f t="shared" si="122"/>
        <v>1</v>
      </c>
      <c r="J498" s="994"/>
      <c r="K498" s="197">
        <f t="shared" si="123"/>
        <v>1</v>
      </c>
      <c r="L498" s="994"/>
      <c r="M498" s="197">
        <f t="shared" si="124"/>
        <v>1</v>
      </c>
      <c r="N498" s="994"/>
      <c r="O498" s="197">
        <f t="shared" si="125"/>
        <v>1</v>
      </c>
      <c r="P498" s="994"/>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4"/>
      <c r="E499" s="197">
        <f t="shared" si="120"/>
        <v>0</v>
      </c>
      <c r="F499" s="994"/>
      <c r="G499" s="197">
        <f t="shared" si="121"/>
        <v>1</v>
      </c>
      <c r="H499" s="994"/>
      <c r="I499" s="197">
        <f t="shared" si="122"/>
        <v>1</v>
      </c>
      <c r="J499" s="994"/>
      <c r="K499" s="197">
        <f t="shared" si="123"/>
        <v>1</v>
      </c>
      <c r="L499" s="994"/>
      <c r="M499" s="197">
        <f t="shared" si="124"/>
        <v>1</v>
      </c>
      <c r="N499" s="994"/>
      <c r="O499" s="197">
        <f t="shared" si="125"/>
        <v>1</v>
      </c>
      <c r="P499" s="994"/>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4"/>
      <c r="E500" s="197">
        <f t="shared" si="120"/>
        <v>0</v>
      </c>
      <c r="F500" s="994"/>
      <c r="G500" s="197">
        <f t="shared" si="121"/>
        <v>1</v>
      </c>
      <c r="H500" s="994"/>
      <c r="I500" s="197">
        <f t="shared" si="122"/>
        <v>1</v>
      </c>
      <c r="J500" s="994"/>
      <c r="K500" s="197">
        <f t="shared" si="123"/>
        <v>1</v>
      </c>
      <c r="L500" s="994"/>
      <c r="M500" s="197">
        <f t="shared" si="124"/>
        <v>1</v>
      </c>
      <c r="N500" s="994"/>
      <c r="O500" s="197">
        <f t="shared" si="125"/>
        <v>1</v>
      </c>
      <c r="P500" s="994"/>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4"/>
      <c r="E501" s="197">
        <f t="shared" si="120"/>
        <v>0</v>
      </c>
      <c r="F501" s="994"/>
      <c r="G501" s="197">
        <f t="shared" si="121"/>
        <v>1</v>
      </c>
      <c r="H501" s="994"/>
      <c r="I501" s="197">
        <f t="shared" si="122"/>
        <v>1</v>
      </c>
      <c r="J501" s="994"/>
      <c r="K501" s="197">
        <f t="shared" si="123"/>
        <v>1</v>
      </c>
      <c r="L501" s="994"/>
      <c r="M501" s="197">
        <f t="shared" si="124"/>
        <v>1</v>
      </c>
      <c r="N501" s="994"/>
      <c r="O501" s="197">
        <f t="shared" si="125"/>
        <v>1</v>
      </c>
      <c r="P501" s="994"/>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4"/>
      <c r="E502" s="197">
        <f t="shared" si="120"/>
        <v>0</v>
      </c>
      <c r="F502" s="994"/>
      <c r="G502" s="197">
        <f t="shared" si="121"/>
        <v>1</v>
      </c>
      <c r="H502" s="994"/>
      <c r="I502" s="197">
        <f t="shared" si="122"/>
        <v>1</v>
      </c>
      <c r="J502" s="994"/>
      <c r="K502" s="197">
        <f t="shared" si="123"/>
        <v>1</v>
      </c>
      <c r="L502" s="994"/>
      <c r="M502" s="197">
        <f t="shared" si="124"/>
        <v>1</v>
      </c>
      <c r="N502" s="994"/>
      <c r="O502" s="197">
        <f t="shared" si="125"/>
        <v>1</v>
      </c>
      <c r="P502" s="994"/>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4"/>
      <c r="E503" s="197">
        <f t="shared" si="120"/>
        <v>0</v>
      </c>
      <c r="F503" s="994"/>
      <c r="G503" s="197">
        <f t="shared" si="121"/>
        <v>1</v>
      </c>
      <c r="H503" s="994"/>
      <c r="I503" s="197">
        <f t="shared" si="122"/>
        <v>1</v>
      </c>
      <c r="J503" s="994"/>
      <c r="K503" s="197">
        <f t="shared" si="123"/>
        <v>1</v>
      </c>
      <c r="L503" s="994"/>
      <c r="M503" s="197">
        <f t="shared" si="124"/>
        <v>1</v>
      </c>
      <c r="N503" s="994"/>
      <c r="O503" s="197">
        <f t="shared" si="125"/>
        <v>1</v>
      </c>
      <c r="P503" s="994"/>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4"/>
      <c r="E504" s="197">
        <f t="shared" si="120"/>
        <v>0</v>
      </c>
      <c r="F504" s="994"/>
      <c r="G504" s="197">
        <f t="shared" si="121"/>
        <v>1</v>
      </c>
      <c r="H504" s="994"/>
      <c r="I504" s="197">
        <f t="shared" si="122"/>
        <v>1</v>
      </c>
      <c r="J504" s="994"/>
      <c r="K504" s="197">
        <f t="shared" si="123"/>
        <v>1</v>
      </c>
      <c r="L504" s="994"/>
      <c r="M504" s="197">
        <f t="shared" si="124"/>
        <v>1</v>
      </c>
      <c r="N504" s="994"/>
      <c r="O504" s="197">
        <f t="shared" si="125"/>
        <v>1</v>
      </c>
      <c r="P504" s="994"/>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4"/>
      <c r="E505" s="197">
        <f t="shared" si="120"/>
        <v>0</v>
      </c>
      <c r="F505" s="994"/>
      <c r="G505" s="197">
        <f t="shared" si="121"/>
        <v>1</v>
      </c>
      <c r="H505" s="994"/>
      <c r="I505" s="197">
        <f t="shared" si="122"/>
        <v>1</v>
      </c>
      <c r="J505" s="994"/>
      <c r="K505" s="197">
        <f t="shared" si="123"/>
        <v>1</v>
      </c>
      <c r="L505" s="994"/>
      <c r="M505" s="197">
        <f t="shared" si="124"/>
        <v>1</v>
      </c>
      <c r="N505" s="994"/>
      <c r="O505" s="197">
        <f t="shared" si="125"/>
        <v>1</v>
      </c>
      <c r="P505" s="994"/>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4"/>
      <c r="E506" s="197">
        <f t="shared" si="120"/>
        <v>0</v>
      </c>
      <c r="F506" s="994"/>
      <c r="G506" s="197">
        <f t="shared" si="121"/>
        <v>1</v>
      </c>
      <c r="H506" s="994"/>
      <c r="I506" s="197">
        <f t="shared" si="122"/>
        <v>1</v>
      </c>
      <c r="J506" s="994"/>
      <c r="K506" s="197">
        <f t="shared" si="123"/>
        <v>1</v>
      </c>
      <c r="L506" s="994"/>
      <c r="M506" s="197">
        <f t="shared" si="124"/>
        <v>1</v>
      </c>
      <c r="N506" s="994"/>
      <c r="O506" s="197">
        <f t="shared" si="125"/>
        <v>1</v>
      </c>
      <c r="P506" s="994"/>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4"/>
      <c r="E507" s="197">
        <f t="shared" si="120"/>
        <v>0</v>
      </c>
      <c r="F507" s="994"/>
      <c r="G507" s="197">
        <f t="shared" si="121"/>
        <v>1</v>
      </c>
      <c r="H507" s="994"/>
      <c r="I507" s="197">
        <f t="shared" si="122"/>
        <v>1</v>
      </c>
      <c r="J507" s="994"/>
      <c r="K507" s="197">
        <f t="shared" si="123"/>
        <v>1</v>
      </c>
      <c r="L507" s="994"/>
      <c r="M507" s="197">
        <f t="shared" si="124"/>
        <v>1</v>
      </c>
      <c r="N507" s="994"/>
      <c r="O507" s="197">
        <f t="shared" si="125"/>
        <v>1</v>
      </c>
      <c r="P507" s="994"/>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4"/>
      <c r="E508" s="197">
        <f t="shared" si="120"/>
        <v>0</v>
      </c>
      <c r="F508" s="994"/>
      <c r="G508" s="197">
        <f t="shared" si="121"/>
        <v>1</v>
      </c>
      <c r="H508" s="994"/>
      <c r="I508" s="197">
        <f t="shared" si="122"/>
        <v>1</v>
      </c>
      <c r="J508" s="994"/>
      <c r="K508" s="197">
        <f t="shared" si="123"/>
        <v>1</v>
      </c>
      <c r="L508" s="994"/>
      <c r="M508" s="197">
        <f t="shared" si="124"/>
        <v>1</v>
      </c>
      <c r="N508" s="994"/>
      <c r="O508" s="197">
        <f t="shared" si="125"/>
        <v>1</v>
      </c>
      <c r="P508" s="994"/>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4"/>
      <c r="E509" s="197">
        <f t="shared" si="120"/>
        <v>0</v>
      </c>
      <c r="F509" s="994"/>
      <c r="G509" s="197">
        <f t="shared" si="121"/>
        <v>1</v>
      </c>
      <c r="H509" s="994"/>
      <c r="I509" s="197">
        <f t="shared" si="122"/>
        <v>1</v>
      </c>
      <c r="J509" s="994"/>
      <c r="K509" s="197">
        <f t="shared" si="123"/>
        <v>1</v>
      </c>
      <c r="L509" s="994"/>
      <c r="M509" s="197">
        <f t="shared" si="124"/>
        <v>1</v>
      </c>
      <c r="N509" s="994"/>
      <c r="O509" s="197">
        <f t="shared" si="125"/>
        <v>1</v>
      </c>
      <c r="P509" s="994"/>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4"/>
      <c r="E510" s="197">
        <f t="shared" si="120"/>
        <v>0</v>
      </c>
      <c r="F510" s="994"/>
      <c r="G510" s="197">
        <f t="shared" si="121"/>
        <v>1</v>
      </c>
      <c r="H510" s="994"/>
      <c r="I510" s="197">
        <f t="shared" si="122"/>
        <v>1</v>
      </c>
      <c r="J510" s="994"/>
      <c r="K510" s="197">
        <f t="shared" si="123"/>
        <v>1</v>
      </c>
      <c r="L510" s="994"/>
      <c r="M510" s="197">
        <f t="shared" si="124"/>
        <v>1</v>
      </c>
      <c r="N510" s="994"/>
      <c r="O510" s="197">
        <f t="shared" si="125"/>
        <v>1</v>
      </c>
      <c r="P510" s="994"/>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4"/>
      <c r="E511" s="197">
        <f t="shared" si="120"/>
        <v>0</v>
      </c>
      <c r="F511" s="994"/>
      <c r="G511" s="197">
        <f t="shared" si="121"/>
        <v>1</v>
      </c>
      <c r="H511" s="994"/>
      <c r="I511" s="197">
        <f t="shared" si="122"/>
        <v>1</v>
      </c>
      <c r="J511" s="994"/>
      <c r="K511" s="197">
        <f t="shared" si="123"/>
        <v>1</v>
      </c>
      <c r="L511" s="994"/>
      <c r="M511" s="197">
        <f t="shared" si="124"/>
        <v>1</v>
      </c>
      <c r="N511" s="994"/>
      <c r="O511" s="197">
        <f t="shared" si="125"/>
        <v>1</v>
      </c>
      <c r="P511" s="994"/>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4"/>
      <c r="E512" s="197">
        <f t="shared" si="120"/>
        <v>0</v>
      </c>
      <c r="F512" s="994"/>
      <c r="G512" s="197">
        <f t="shared" si="121"/>
        <v>1</v>
      </c>
      <c r="H512" s="994"/>
      <c r="I512" s="197">
        <f t="shared" si="122"/>
        <v>1</v>
      </c>
      <c r="J512" s="994"/>
      <c r="K512" s="197">
        <f t="shared" si="123"/>
        <v>1</v>
      </c>
      <c r="L512" s="994"/>
      <c r="M512" s="197">
        <f t="shared" si="124"/>
        <v>1</v>
      </c>
      <c r="N512" s="994"/>
      <c r="O512" s="197">
        <f t="shared" si="125"/>
        <v>1</v>
      </c>
      <c r="P512" s="994"/>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4"/>
      <c r="E513" s="197">
        <f t="shared" si="120"/>
        <v>0</v>
      </c>
      <c r="F513" s="994"/>
      <c r="G513" s="197">
        <f t="shared" si="121"/>
        <v>1</v>
      </c>
      <c r="H513" s="994"/>
      <c r="I513" s="197">
        <f t="shared" si="122"/>
        <v>1</v>
      </c>
      <c r="J513" s="994"/>
      <c r="K513" s="197">
        <f t="shared" si="123"/>
        <v>1</v>
      </c>
      <c r="L513" s="994"/>
      <c r="M513" s="197">
        <f t="shared" si="124"/>
        <v>1</v>
      </c>
      <c r="N513" s="994"/>
      <c r="O513" s="197">
        <f t="shared" si="125"/>
        <v>1</v>
      </c>
      <c r="P513" s="994"/>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4"/>
      <c r="E514" s="197">
        <f t="shared" si="120"/>
        <v>0</v>
      </c>
      <c r="F514" s="994"/>
      <c r="G514" s="197">
        <f t="shared" si="121"/>
        <v>1</v>
      </c>
      <c r="H514" s="994"/>
      <c r="I514" s="197">
        <f t="shared" si="122"/>
        <v>1</v>
      </c>
      <c r="J514" s="994"/>
      <c r="K514" s="197">
        <f t="shared" si="123"/>
        <v>1</v>
      </c>
      <c r="L514" s="994"/>
      <c r="M514" s="197">
        <f t="shared" si="124"/>
        <v>1</v>
      </c>
      <c r="N514" s="994"/>
      <c r="O514" s="197">
        <f t="shared" si="125"/>
        <v>1</v>
      </c>
      <c r="P514" s="994"/>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4"/>
      <c r="E515" s="197">
        <f t="shared" si="120"/>
        <v>0</v>
      </c>
      <c r="F515" s="994"/>
      <c r="G515" s="197">
        <f t="shared" si="121"/>
        <v>1</v>
      </c>
      <c r="H515" s="994"/>
      <c r="I515" s="197">
        <f t="shared" si="122"/>
        <v>1</v>
      </c>
      <c r="J515" s="994"/>
      <c r="K515" s="197">
        <f t="shared" si="123"/>
        <v>1</v>
      </c>
      <c r="L515" s="994"/>
      <c r="M515" s="197">
        <f t="shared" si="124"/>
        <v>1</v>
      </c>
      <c r="N515" s="994"/>
      <c r="O515" s="197">
        <f t="shared" si="125"/>
        <v>1</v>
      </c>
      <c r="P515" s="994"/>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4"/>
      <c r="E516" s="197">
        <f t="shared" si="120"/>
        <v>0</v>
      </c>
      <c r="F516" s="994"/>
      <c r="G516" s="197">
        <f t="shared" si="121"/>
        <v>1</v>
      </c>
      <c r="H516" s="994"/>
      <c r="I516" s="197">
        <f t="shared" si="122"/>
        <v>1</v>
      </c>
      <c r="J516" s="994"/>
      <c r="K516" s="197">
        <f t="shared" si="123"/>
        <v>1</v>
      </c>
      <c r="L516" s="994"/>
      <c r="M516" s="197">
        <f t="shared" si="124"/>
        <v>1</v>
      </c>
      <c r="N516" s="994"/>
      <c r="O516" s="197">
        <f t="shared" si="125"/>
        <v>1</v>
      </c>
      <c r="P516" s="994"/>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4"/>
      <c r="E517" s="197">
        <f t="shared" si="120"/>
        <v>0</v>
      </c>
      <c r="F517" s="994"/>
      <c r="G517" s="197">
        <f t="shared" si="121"/>
        <v>1</v>
      </c>
      <c r="H517" s="994"/>
      <c r="I517" s="197">
        <f t="shared" si="122"/>
        <v>1</v>
      </c>
      <c r="J517" s="994"/>
      <c r="K517" s="197">
        <f t="shared" si="123"/>
        <v>1</v>
      </c>
      <c r="L517" s="994"/>
      <c r="M517" s="197">
        <f t="shared" si="124"/>
        <v>1</v>
      </c>
      <c r="N517" s="994"/>
      <c r="O517" s="197">
        <f t="shared" si="125"/>
        <v>1</v>
      </c>
      <c r="P517" s="994"/>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4"/>
      <c r="E518" s="197">
        <f t="shared" si="120"/>
        <v>0</v>
      </c>
      <c r="F518" s="994"/>
      <c r="G518" s="197">
        <f t="shared" si="121"/>
        <v>1</v>
      </c>
      <c r="H518" s="994"/>
      <c r="I518" s="197">
        <f t="shared" si="122"/>
        <v>1</v>
      </c>
      <c r="J518" s="994"/>
      <c r="K518" s="197">
        <f t="shared" si="123"/>
        <v>1</v>
      </c>
      <c r="L518" s="994"/>
      <c r="M518" s="197">
        <f t="shared" si="124"/>
        <v>1</v>
      </c>
      <c r="N518" s="994"/>
      <c r="O518" s="197">
        <f t="shared" si="125"/>
        <v>1</v>
      </c>
      <c r="P518" s="994"/>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4"/>
      <c r="E519" s="197">
        <f t="shared" si="120"/>
        <v>0</v>
      </c>
      <c r="F519" s="994"/>
      <c r="G519" s="197">
        <f t="shared" si="121"/>
        <v>1</v>
      </c>
      <c r="H519" s="994"/>
      <c r="I519" s="197">
        <f t="shared" si="122"/>
        <v>1</v>
      </c>
      <c r="J519" s="994"/>
      <c r="K519" s="197">
        <f t="shared" si="123"/>
        <v>1</v>
      </c>
      <c r="L519" s="994"/>
      <c r="M519" s="197">
        <f t="shared" si="124"/>
        <v>1</v>
      </c>
      <c r="N519" s="994"/>
      <c r="O519" s="197">
        <f t="shared" si="125"/>
        <v>1</v>
      </c>
      <c r="P519" s="994"/>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4"/>
      <c r="E520" s="197">
        <f t="shared" si="120"/>
        <v>0</v>
      </c>
      <c r="F520" s="994"/>
      <c r="G520" s="197">
        <f t="shared" si="121"/>
        <v>1</v>
      </c>
      <c r="H520" s="994"/>
      <c r="I520" s="197">
        <f t="shared" si="122"/>
        <v>1</v>
      </c>
      <c r="J520" s="994"/>
      <c r="K520" s="197">
        <f t="shared" si="123"/>
        <v>1</v>
      </c>
      <c r="L520" s="994"/>
      <c r="M520" s="197">
        <f t="shared" si="124"/>
        <v>1</v>
      </c>
      <c r="N520" s="994"/>
      <c r="O520" s="197">
        <f t="shared" si="125"/>
        <v>1</v>
      </c>
      <c r="P520" s="994"/>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4"/>
      <c r="E521" s="197">
        <f t="shared" si="120"/>
        <v>0</v>
      </c>
      <c r="F521" s="994"/>
      <c r="G521" s="197">
        <f t="shared" si="121"/>
        <v>1</v>
      </c>
      <c r="H521" s="994"/>
      <c r="I521" s="197">
        <f t="shared" si="122"/>
        <v>1</v>
      </c>
      <c r="J521" s="994"/>
      <c r="K521" s="197">
        <f t="shared" si="123"/>
        <v>1</v>
      </c>
      <c r="L521" s="994"/>
      <c r="M521" s="197">
        <f t="shared" si="124"/>
        <v>1</v>
      </c>
      <c r="N521" s="994"/>
      <c r="O521" s="197">
        <f t="shared" si="125"/>
        <v>1</v>
      </c>
      <c r="P521" s="994"/>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4"/>
      <c r="E522" s="197">
        <f t="shared" si="120"/>
        <v>0</v>
      </c>
      <c r="F522" s="994"/>
      <c r="G522" s="197">
        <f t="shared" si="121"/>
        <v>1</v>
      </c>
      <c r="H522" s="994"/>
      <c r="I522" s="197">
        <f t="shared" si="122"/>
        <v>1</v>
      </c>
      <c r="J522" s="994"/>
      <c r="K522" s="197">
        <f t="shared" si="123"/>
        <v>1</v>
      </c>
      <c r="L522" s="994"/>
      <c r="M522" s="197">
        <f t="shared" si="124"/>
        <v>1</v>
      </c>
      <c r="N522" s="994"/>
      <c r="O522" s="197">
        <f t="shared" si="125"/>
        <v>1</v>
      </c>
      <c r="P522" s="994"/>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4"/>
      <c r="E523" s="197">
        <f t="shared" si="120"/>
        <v>0</v>
      </c>
      <c r="F523" s="994"/>
      <c r="G523" s="197">
        <f t="shared" si="121"/>
        <v>1</v>
      </c>
      <c r="H523" s="994"/>
      <c r="I523" s="197">
        <f t="shared" si="122"/>
        <v>1</v>
      </c>
      <c r="J523" s="994"/>
      <c r="K523" s="197">
        <f t="shared" si="123"/>
        <v>1</v>
      </c>
      <c r="L523" s="994"/>
      <c r="M523" s="197">
        <f t="shared" si="124"/>
        <v>1</v>
      </c>
      <c r="N523" s="994"/>
      <c r="O523" s="197">
        <f t="shared" si="125"/>
        <v>1</v>
      </c>
      <c r="P523" s="994"/>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4"/>
      <c r="E524" s="197">
        <f t="shared" si="120"/>
        <v>0</v>
      </c>
      <c r="F524" s="994"/>
      <c r="G524" s="197">
        <f t="shared" si="121"/>
        <v>1</v>
      </c>
      <c r="H524" s="994"/>
      <c r="I524" s="197">
        <f t="shared" si="122"/>
        <v>1</v>
      </c>
      <c r="J524" s="994"/>
      <c r="K524" s="197">
        <f t="shared" si="123"/>
        <v>1</v>
      </c>
      <c r="L524" s="994"/>
      <c r="M524" s="197">
        <f t="shared" si="124"/>
        <v>1</v>
      </c>
      <c r="N524" s="994"/>
      <c r="O524" s="197">
        <f t="shared" si="125"/>
        <v>1</v>
      </c>
      <c r="P524" s="994"/>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4"/>
      <c r="E525" s="197">
        <f t="shared" si="120"/>
        <v>0</v>
      </c>
      <c r="F525" s="994"/>
      <c r="G525" s="197">
        <f t="shared" si="121"/>
        <v>1</v>
      </c>
      <c r="H525" s="994"/>
      <c r="I525" s="197">
        <f t="shared" si="122"/>
        <v>1</v>
      </c>
      <c r="J525" s="994"/>
      <c r="K525" s="197">
        <f t="shared" si="123"/>
        <v>1</v>
      </c>
      <c r="L525" s="994"/>
      <c r="M525" s="197">
        <f t="shared" si="124"/>
        <v>1</v>
      </c>
      <c r="N525" s="994"/>
      <c r="O525" s="197">
        <f t="shared" si="125"/>
        <v>1</v>
      </c>
      <c r="P525" s="994"/>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4"/>
      <c r="E526" s="197">
        <f t="shared" si="120"/>
        <v>0</v>
      </c>
      <c r="F526" s="994"/>
      <c r="G526" s="197">
        <f t="shared" si="121"/>
        <v>1</v>
      </c>
      <c r="H526" s="994"/>
      <c r="I526" s="197">
        <f t="shared" si="122"/>
        <v>1</v>
      </c>
      <c r="J526" s="994"/>
      <c r="K526" s="197">
        <f t="shared" si="123"/>
        <v>1</v>
      </c>
      <c r="L526" s="994"/>
      <c r="M526" s="197">
        <f t="shared" si="124"/>
        <v>1</v>
      </c>
      <c r="N526" s="994"/>
      <c r="O526" s="197">
        <f t="shared" si="125"/>
        <v>1</v>
      </c>
      <c r="P526" s="994"/>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4"/>
      <c r="E527" s="197">
        <f t="shared" si="120"/>
        <v>0</v>
      </c>
      <c r="F527" s="994"/>
      <c r="G527" s="197">
        <f t="shared" si="121"/>
        <v>1</v>
      </c>
      <c r="H527" s="994"/>
      <c r="I527" s="197">
        <f t="shared" si="122"/>
        <v>1</v>
      </c>
      <c r="J527" s="994"/>
      <c r="K527" s="197">
        <f t="shared" si="123"/>
        <v>1</v>
      </c>
      <c r="L527" s="994"/>
      <c r="M527" s="197">
        <f t="shared" si="124"/>
        <v>1</v>
      </c>
      <c r="N527" s="994"/>
      <c r="O527" s="197">
        <f t="shared" si="125"/>
        <v>1</v>
      </c>
      <c r="P527" s="994"/>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1963</v>
      </c>
      <c r="B1" s="1304"/>
      <c r="C1" s="1304"/>
      <c r="D1" s="1304"/>
      <c r="E1" s="1304"/>
    </row>
    <row r="2" spans="1:5" ht="78.75" customHeight="1">
      <c r="A2" s="31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31"/>
      <c r="C2" s="3131"/>
      <c r="D2" s="3131"/>
      <c r="E2" s="3131"/>
    </row>
    <row r="3" spans="1:5" ht="13.5" customHeight="1">
      <c r="A3" s="1862"/>
      <c r="B3" s="1862"/>
      <c r="C3" s="1862"/>
      <c r="D3" s="1862"/>
      <c r="E3" s="1862"/>
    </row>
    <row r="4" spans="1:5" ht="19.5" thickBot="1">
      <c r="A4" s="3132" t="str">
        <f>IF(项目基本情况!D5="房地产市场价值","估价结果一览表（市场价值不需本页表格)","估价结果一览表")</f>
        <v>估价结果一览表</v>
      </c>
      <c r="B4" s="3132"/>
      <c r="C4" s="3132"/>
      <c r="D4" s="3132"/>
      <c r="E4" s="3132"/>
    </row>
    <row r="5" spans="1:5" ht="14.25" customHeight="1" thickTop="1">
      <c r="A5" s="1304"/>
      <c r="B5" s="1791" t="s">
        <v>1863</v>
      </c>
      <c r="C5" s="3133" t="s">
        <v>1970</v>
      </c>
      <c r="D5" s="3134"/>
      <c r="E5" s="1304"/>
    </row>
    <row r="6" spans="1:5" ht="15.75">
      <c r="A6" s="1304"/>
      <c r="B6" s="2027" t="str">
        <f>项目基本情况!I1</f>
        <v>北京市房地产</v>
      </c>
      <c r="C6" s="3135">
        <f>项目基本情况!C12</f>
        <v>255.46</v>
      </c>
      <c r="D6" s="3135"/>
      <c r="E6" s="1304"/>
    </row>
    <row r="7" spans="1:5" ht="15.75">
      <c r="A7" s="1304"/>
      <c r="B7" s="3129" t="s">
        <v>1988</v>
      </c>
      <c r="C7" s="1769" t="str">
        <f>IF('数据-取费表'!B3="万元","总价（万元）","总价（元）")</f>
        <v>总价（万元）</v>
      </c>
      <c r="D7" s="3065">
        <f ca="1">IF('数据-取费表'!E3="否",结果表!I102,'结果表 (1修多)'!I103)</f>
        <v>1276</v>
      </c>
      <c r="E7" s="1304"/>
    </row>
    <row r="8" spans="1:5" ht="15.75">
      <c r="A8" s="1304"/>
      <c r="B8" s="3129"/>
      <c r="C8" s="2811" t="s">
        <v>2742</v>
      </c>
      <c r="D8" s="3102" t="str">
        <f ca="1">IF('数据-取费表'!B3="万元",NUMBERSTRING(INT(D7*10000),2)&amp;"元整",NUMBERSTRING(INT(D7),2)&amp;"元整")</f>
        <v>壹仟贰佰柒拾陆万元整</v>
      </c>
      <c r="E8" s="1304"/>
    </row>
    <row r="9" spans="1:5" ht="15.75">
      <c r="A9" s="1304"/>
      <c r="B9" s="3129"/>
      <c r="C9" s="1770" t="s">
        <v>1971</v>
      </c>
      <c r="D9" s="3065">
        <f ca="1">IF('数据-取费表'!E3="否",结果表!I103,'结果表 (1修多)'!I104)</f>
        <v>49949</v>
      </c>
      <c r="E9" s="1304"/>
    </row>
    <row r="10" spans="1:5" ht="15.75">
      <c r="A10" s="1304"/>
      <c r="B10" s="3136" t="str">
        <f>IF('数据-取费表'!E3="否",结果表!F105,'结果表 (1修多)'!F106)</f>
        <v>2.估价师所知悉的法定优先受偿款</v>
      </c>
      <c r="C10" s="1771" t="str">
        <f>IF('数据-取费表'!B3="万元","总额（万元）","总额（元）")</f>
        <v>总额（万元）</v>
      </c>
      <c r="D10" s="3065">
        <f>IF('数据-取费表'!E3="否",结果表!I105,'结果表 (1修多)'!I106)</f>
        <v>0</v>
      </c>
      <c r="E10" s="1304"/>
    </row>
    <row r="11" spans="1:5" ht="14.25">
      <c r="A11" s="1304"/>
      <c r="B11" s="3136"/>
      <c r="C11" s="2811" t="s">
        <v>2742</v>
      </c>
      <c r="D11" s="3064" t="str">
        <f>IF('数据-取费表'!B3="万元",NUMBERSTRING(INT(D10*10000),2)&amp;"元整",NUMBERSTRING(INT(D10),2)&amp;"元整")</f>
        <v>零元整</v>
      </c>
      <c r="E11" s="1304"/>
    </row>
    <row r="12" spans="1:5" ht="15">
      <c r="A12" s="1304"/>
      <c r="B12" s="3072" t="s">
        <v>1866</v>
      </c>
      <c r="C12" s="1772" t="str">
        <f>C10</f>
        <v>总额（万元）</v>
      </c>
      <c r="D12" s="1764">
        <f>IF('数据-取费表'!E3="否",结果表!I106,'结果表 (1修多)'!I107)</f>
        <v>0</v>
      </c>
      <c r="E12" s="1304"/>
    </row>
    <row r="13" spans="1:5" ht="15">
      <c r="A13" s="1304"/>
      <c r="B13" s="3072" t="s">
        <v>1867</v>
      </c>
      <c r="C13" s="1772" t="str">
        <f>C10</f>
        <v>总额（万元）</v>
      </c>
      <c r="D13" s="1764">
        <f>IF('数据-取费表'!E3="否",结果表!I107,'结果表 (1修多)'!I108)</f>
        <v>0</v>
      </c>
      <c r="E13" s="1304"/>
    </row>
    <row r="14" spans="1:5" ht="15">
      <c r="A14" s="1304"/>
      <c r="B14" s="3072" t="s">
        <v>1868</v>
      </c>
      <c r="C14" s="1772" t="str">
        <f>C10</f>
        <v>总额（万元）</v>
      </c>
      <c r="D14" s="1764">
        <f>IF('数据-取费表'!E3="否",结果表!I108,'结果表 (1修多)'!I109)</f>
        <v>0</v>
      </c>
      <c r="E14" s="1304"/>
    </row>
    <row r="15" spans="1:5" ht="15.75">
      <c r="A15" s="1304"/>
      <c r="B15" s="3136" t="str">
        <f>IF('数据-取费表'!E3="否",结果表!F110,'结果表 (1修多)'!F111)</f>
        <v>3.房地产抵押价值</v>
      </c>
      <c r="C15" s="3073" t="str">
        <f>C7</f>
        <v>总价（万元）</v>
      </c>
      <c r="D15" s="3065">
        <f ca="1">IF('数据-取费表'!E3="否",结果表!I110,'结果表 (1修多)'!I111)</f>
        <v>1276</v>
      </c>
      <c r="E15" s="1304"/>
    </row>
    <row r="16" spans="1:5" ht="15.75">
      <c r="A16" s="1304"/>
      <c r="B16" s="3136"/>
      <c r="C16" s="2811" t="s">
        <v>2742</v>
      </c>
      <c r="D16" s="3071" t="str">
        <f ca="1">IF('数据-取费表'!B3="万元",NUMBERSTRING(INT(D15*10000),2)&amp;"元整",NUMBERSTRING(INT(D15),2)&amp;"元整")</f>
        <v>壹仟贰佰柒拾陆万元整</v>
      </c>
      <c r="E16" s="1304"/>
    </row>
    <row r="17" spans="1:5" ht="15.75">
      <c r="A17" s="1304"/>
      <c r="B17" s="3136"/>
      <c r="C17" s="1770" t="s">
        <v>1971</v>
      </c>
      <c r="D17" s="3065">
        <f ca="1">IF('数据-取费表'!E3="否",结果表!I111,'结果表 (1修多)'!I112)</f>
        <v>49949</v>
      </c>
      <c r="E17" s="1304"/>
    </row>
    <row r="18" spans="1:5" ht="15.75">
      <c r="A18" s="1304"/>
      <c r="B18" s="3136" t="str">
        <f>IF('数据-取费表'!E3="否",结果表!F112,'结果表 (1修多)'!F113)</f>
        <v>——</v>
      </c>
      <c r="C18" s="3073" t="str">
        <f>C7</f>
        <v>总价（万元）</v>
      </c>
      <c r="D18" s="3065" t="str">
        <f>IF('数据-取费表'!E3="否",结果表!I112,'结果表 (1修多)'!I113)</f>
        <v>——</v>
      </c>
      <c r="E18" s="1304"/>
    </row>
    <row r="19" spans="1:5" ht="14.25">
      <c r="A19" s="1304"/>
      <c r="B19" s="3136"/>
      <c r="C19" s="2811" t="s">
        <v>2742</v>
      </c>
      <c r="D19" s="3066" t="e">
        <f>IF('数据-取费表'!B3="万元",NUMBERSTRING(INT(D18*10000),2)&amp;"元整",NUMBERSTRING(INT(D18),2)&amp;"元整")</f>
        <v>#VALUE!</v>
      </c>
      <c r="E19" s="1304"/>
    </row>
    <row r="20" spans="1:5" ht="15.75">
      <c r="A20" s="1304"/>
      <c r="B20" s="3136"/>
      <c r="C20" s="1770" t="s">
        <v>1971</v>
      </c>
      <c r="D20" s="3065" t="str">
        <f>IF('数据-取费表'!E3="否",结果表!I113,'结果表 (1修多)'!I114)</f>
        <v>——</v>
      </c>
      <c r="E20" s="1304"/>
    </row>
    <row r="21" spans="1:5" ht="15.75">
      <c r="A21" s="1304"/>
      <c r="B21" s="3129" t="str">
        <f>IF('数据-取费表'!E3="否",结果表!F114,'结果表 (1修多)'!F115)</f>
        <v>——</v>
      </c>
      <c r="C21" s="1769" t="str">
        <f>C7</f>
        <v>总价（万元）</v>
      </c>
      <c r="D21" s="3065" t="str">
        <f>IF('数据-取费表'!E3="否",结果表!I114,'结果表 (1修多)'!I115)</f>
        <v>——</v>
      </c>
      <c r="E21" s="1304"/>
    </row>
    <row r="22" spans="1:5" ht="14.25">
      <c r="A22" s="1304"/>
      <c r="B22" s="3129"/>
      <c r="C22" s="2811" t="s">
        <v>2742</v>
      </c>
      <c r="D22" s="3064" t="e">
        <f>IF('数据-取费表'!B3="万元",NUMBERSTRING(INT(D21*10000),2)&amp;"元整",NUMBERSTRING(INT(D21),2)&amp;"元整")</f>
        <v>#VALUE!</v>
      </c>
      <c r="E22" s="1304"/>
    </row>
    <row r="23" spans="1:5" ht="15.75" thickBot="1">
      <c r="A23" s="1304"/>
      <c r="B23" s="3130"/>
      <c r="C23" s="1773" t="s">
        <v>1971</v>
      </c>
      <c r="D23" s="3074" t="str">
        <f ca="1">IF('数据-取费表'!E3="否",结果表!I115,'结果表 (1修多)'!I116)</f>
        <v>——</v>
      </c>
      <c r="E23" s="1304"/>
    </row>
    <row r="24" spans="1:5" ht="14.25" thickTop="1">
      <c r="A24" s="1304"/>
      <c r="B24" s="1304"/>
      <c r="C24" s="1304"/>
      <c r="D24" s="1304"/>
      <c r="E24" s="1304"/>
    </row>
    <row r="25" spans="1:5" ht="18.75" customHeight="1" thickBot="1">
      <c r="A25" s="1304"/>
      <c r="B25" s="3144" t="s">
        <v>2719</v>
      </c>
      <c r="C25" s="3144"/>
      <c r="D25" s="3144"/>
      <c r="E25" s="1304"/>
    </row>
    <row r="26" spans="1:5" ht="18.75" customHeight="1" thickTop="1">
      <c r="A26" s="1304"/>
      <c r="B26" s="3147" t="s">
        <v>2741</v>
      </c>
      <c r="C26" s="3148"/>
      <c r="D26" s="3145" t="s">
        <v>2740</v>
      </c>
      <c r="E26" s="1304"/>
    </row>
    <row r="27" spans="1:5" ht="18.75" customHeight="1">
      <c r="A27" s="1304"/>
      <c r="B27" s="3149"/>
      <c r="C27" s="3150"/>
      <c r="D27" s="3146"/>
      <c r="E27" s="1304"/>
    </row>
    <row r="28" spans="1:5" ht="15.75">
      <c r="A28" s="1304"/>
      <c r="B28" s="3137" t="s">
        <v>1988</v>
      </c>
      <c r="C28" s="2829" t="s">
        <v>2743</v>
      </c>
      <c r="D28" s="2830">
        <f ca="1">IF('数据-取费表'!E3="否",结果表!I102,'结果表 (1修多)'!I103)</f>
        <v>1276</v>
      </c>
      <c r="E28" s="1304"/>
    </row>
    <row r="29" spans="1:5" ht="14.25">
      <c r="A29" s="1304"/>
      <c r="B29" s="3138"/>
      <c r="C29" s="2831" t="s">
        <v>2742</v>
      </c>
      <c r="D29" s="2832" t="str">
        <f ca="1">IF('数据-取费表'!B3="万元",NUMBERSTRING(INT(D28*10000),2)&amp;"元整",NUMBERSTRING(INT(D28),2)&amp;"元整")</f>
        <v>壹仟贰佰柒拾陆万元整</v>
      </c>
      <c r="E29" s="1304"/>
    </row>
    <row r="30" spans="1:5" ht="15">
      <c r="A30" s="1304"/>
      <c r="B30" s="3139"/>
      <c r="C30" s="1770" t="s">
        <v>2745</v>
      </c>
      <c r="D30" s="2807">
        <f ca="1">IF('数据-取费表'!E3="否",结果表!I103,'结果表 (1修多)'!I104)</f>
        <v>49949</v>
      </c>
      <c r="E30" s="1304"/>
    </row>
    <row r="31" spans="1:5" ht="15.75">
      <c r="A31" s="1304"/>
      <c r="B31" s="3142" t="str">
        <f>B10</f>
        <v>2.估价师所知悉的法定优先受偿款</v>
      </c>
      <c r="C31" s="2810" t="s">
        <v>2744</v>
      </c>
      <c r="D31" s="2808">
        <f>IF('数据-取费表'!E3="否",结果表!I105,'结果表 (1修多)'!I106)</f>
        <v>0</v>
      </c>
      <c r="E31" s="1304"/>
    </row>
    <row r="32" spans="1:5" ht="14.25">
      <c r="A32" s="1304"/>
      <c r="B32" s="3151"/>
      <c r="C32" s="2831" t="s">
        <v>2742</v>
      </c>
      <c r="D32" s="2833" t="str">
        <f>IF('数据-取费表'!B3="万元",NUMBERSTRING(INT(D31*10000),2)&amp;"元整",NUMBERSTRING(INT(D31),2)&amp;"元整")</f>
        <v>零元整</v>
      </c>
      <c r="E32" s="1304"/>
    </row>
    <row r="33" spans="1:5" ht="15">
      <c r="A33" s="1304"/>
      <c r="B33" s="2811" t="s">
        <v>2716</v>
      </c>
      <c r="C33" s="2811" t="str">
        <f>C31</f>
        <v>总额</v>
      </c>
      <c r="D33" s="2807">
        <f>IF('数据-取费表'!E3="否",结果表!I106,'结果表 (1修多)'!I107)</f>
        <v>0</v>
      </c>
      <c r="E33" s="1304"/>
    </row>
    <row r="34" spans="1:5" ht="15">
      <c r="A34" s="1304"/>
      <c r="B34" s="2811" t="s">
        <v>2717</v>
      </c>
      <c r="C34" s="2811" t="str">
        <f>C31</f>
        <v>总额</v>
      </c>
      <c r="D34" s="2807">
        <f>IF('数据-取费表'!E3="否",结果表!I107,'结果表 (1修多)'!I108)</f>
        <v>0</v>
      </c>
      <c r="E34" s="1304"/>
    </row>
    <row r="35" spans="1:5" ht="15">
      <c r="A35" s="1304"/>
      <c r="B35" s="2811" t="s">
        <v>2718</v>
      </c>
      <c r="C35" s="2811" t="str">
        <f>C31</f>
        <v>总额</v>
      </c>
      <c r="D35" s="2807">
        <f>IF('数据-取费表'!E3="否",结果表!I108,'结果表 (1修多)'!I109)</f>
        <v>0</v>
      </c>
      <c r="E35" s="1304"/>
    </row>
    <row r="36" spans="1:5" ht="15.75">
      <c r="A36" s="1304"/>
      <c r="B36" s="3140" t="str">
        <f>B15</f>
        <v>3.房地产抵押价值</v>
      </c>
      <c r="C36" s="2810" t="str">
        <f>C28</f>
        <v>总价</v>
      </c>
      <c r="D36" s="2808">
        <f ca="1">IF('数据-取费表'!E3="否",结果表!I110,'结果表 (1修多)'!I111)</f>
        <v>1276</v>
      </c>
      <c r="E36" s="1304"/>
    </row>
    <row r="37" spans="1:5" ht="14.25">
      <c r="A37" s="1304"/>
      <c r="B37" s="3140"/>
      <c r="C37" s="2831" t="s">
        <v>2742</v>
      </c>
      <c r="D37" s="2833" t="str">
        <f ca="1">IF('数据-取费表'!B3="万元",NUMBERSTRING(INT(D36*10000),2)&amp;"元整",NUMBERSTRING(INT(D36),2)&amp;"元整")</f>
        <v>壹仟贰佰柒拾陆万元整</v>
      </c>
      <c r="E37" s="1304"/>
    </row>
    <row r="38" spans="1:5" ht="15">
      <c r="A38" s="1304"/>
      <c r="B38" s="3140"/>
      <c r="C38" s="1770" t="s">
        <v>2746</v>
      </c>
      <c r="D38" s="2807">
        <f ca="1">IF('数据-取费表'!E3="否",结果表!D113,'结果表 (1修多)'!D116)</f>
        <v>49949</v>
      </c>
      <c r="E38" s="1304"/>
    </row>
    <row r="39" spans="1:5" ht="15.75">
      <c r="A39" s="1304"/>
      <c r="B39" s="3141" t="str">
        <f>B18</f>
        <v>——</v>
      </c>
      <c r="C39" s="2810" t="str">
        <f>C28</f>
        <v>总价</v>
      </c>
      <c r="D39" s="2808" t="str">
        <f>IF('数据-取费表'!E3="否",结果表!I112,'结果表 (1修多)'!I113)</f>
        <v>——</v>
      </c>
      <c r="E39" s="1304"/>
    </row>
    <row r="40" spans="1:5" ht="14.25">
      <c r="A40" s="1304"/>
      <c r="B40" s="3141"/>
      <c r="C40" s="2831" t="s">
        <v>2742</v>
      </c>
      <c r="D40" s="2833" t="e">
        <f>IF('数据-取费表'!B3="万元",NUMBERSTRING(INT(D39*10000),2)&amp;"元整",NUMBERSTRING(INT(D39),2)&amp;"元整")</f>
        <v>#VALUE!</v>
      </c>
      <c r="E40" s="1304"/>
    </row>
    <row r="41" spans="1:5" ht="15">
      <c r="A41" s="1304"/>
      <c r="B41" s="3141"/>
      <c r="C41" s="1770" t="s">
        <v>2746</v>
      </c>
      <c r="D41" s="2807" t="str">
        <f>IF('数据-取费表'!E3="否",结果表!D115,'结果表 (1修多)'!D118)</f>
        <v>——</v>
      </c>
      <c r="E41" s="1304"/>
    </row>
    <row r="42" spans="1:5" ht="15.75">
      <c r="A42" s="1304"/>
      <c r="B42" s="3140" t="str">
        <f>B21</f>
        <v>——</v>
      </c>
      <c r="C42" s="2810" t="str">
        <f>C28</f>
        <v>总价</v>
      </c>
      <c r="D42" s="2808" t="str">
        <f>IF('数据-取费表'!E3="否",结果表!I114,'结果表 (1修多)'!I115)</f>
        <v>——</v>
      </c>
      <c r="E42" s="1304"/>
    </row>
    <row r="43" spans="1:5" ht="14.25">
      <c r="A43" s="1304"/>
      <c r="B43" s="3142"/>
      <c r="C43" s="2831" t="s">
        <v>2742</v>
      </c>
      <c r="D43" s="2834" t="e">
        <f>IF('数据-取费表'!B3="万元",NUMBERSTRING(INT(D42*10000),2)&amp;"元整",NUMBERSTRING(INT(D42),2)&amp;"元整")</f>
        <v>#VALUE!</v>
      </c>
      <c r="E43" s="1304"/>
    </row>
    <row r="44" spans="1:5" ht="15.75" thickBot="1">
      <c r="A44" s="1304"/>
      <c r="B44" s="3143"/>
      <c r="C44" s="1773" t="s">
        <v>2746</v>
      </c>
      <c r="D44" s="2809" t="str">
        <f ca="1">IF('数据-取费表'!E3="否",结果表!D117,'结果表 (1修多)'!D120)</f>
        <v>——</v>
      </c>
      <c r="E44" s="1304"/>
    </row>
    <row r="45" spans="1:5" ht="14.25" thickTop="1">
      <c r="A45" s="1304"/>
      <c r="B45" s="1004" t="str">
        <f>IF('数据-取费表'!B3="元","单位：元、元/平方米（单位：人民币）","单位：万元、元/平方米（单位：人民币）")</f>
        <v>单位：万元、元/平方米（单位：人民币）</v>
      </c>
      <c r="C45" s="1304"/>
      <c r="D45" s="1304"/>
      <c r="E45" s="1304"/>
    </row>
    <row r="46" spans="1:5" ht="18.75">
      <c r="B46" s="1897" t="s">
        <v>2728</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B3" sqref="B3"/>
    </sheetView>
  </sheetViews>
  <sheetFormatPr defaultRowHeight="13.5"/>
  <cols>
    <col min="1" max="1" width="10.625" customWidth="1"/>
    <col min="2" max="2" width="33.875" customWidth="1"/>
    <col min="3" max="3" width="16" customWidth="1"/>
    <col min="4" max="4" width="23.75" customWidth="1"/>
  </cols>
  <sheetData>
    <row r="1" spans="1:4">
      <c r="A1" s="3124" t="s">
        <v>2915</v>
      </c>
      <c r="B1" s="3124" t="s">
        <v>2916</v>
      </c>
      <c r="C1" s="3124" t="s">
        <v>2917</v>
      </c>
      <c r="D1" s="3124" t="s">
        <v>2918</v>
      </c>
    </row>
    <row r="2" spans="1:4">
      <c r="A2">
        <v>1002</v>
      </c>
      <c r="B2" s="3124" t="s">
        <v>2919</v>
      </c>
      <c r="C2">
        <v>255.46</v>
      </c>
      <c r="D2" s="3124" t="s">
        <v>2920</v>
      </c>
    </row>
    <row r="3" spans="1:4">
      <c r="A3">
        <v>1004</v>
      </c>
      <c r="B3" s="3124" t="s">
        <v>2921</v>
      </c>
      <c r="C3">
        <v>162.61000000000001</v>
      </c>
      <c r="D3" s="3124" t="s">
        <v>2922</v>
      </c>
    </row>
  </sheetData>
  <phoneticPr fontId="20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H5"/>
  <sheetViews>
    <sheetView topLeftCell="A19" workbookViewId="0">
      <selection activeCell="G25" sqref="G25"/>
    </sheetView>
  </sheetViews>
  <sheetFormatPr defaultRowHeight="13.5"/>
  <sheetData>
    <row r="2" spans="6:8">
      <c r="F2" s="3124" t="s">
        <v>2940</v>
      </c>
      <c r="G2" s="3124" t="s">
        <v>2941</v>
      </c>
      <c r="H2" s="3124" t="s">
        <v>2942</v>
      </c>
    </row>
    <row r="3" spans="6:8">
      <c r="F3">
        <v>1196</v>
      </c>
      <c r="G3">
        <v>230</v>
      </c>
      <c r="H3">
        <f>F3/G3*10000</f>
        <v>52000</v>
      </c>
    </row>
    <row r="4" spans="6:8">
      <c r="F4">
        <v>1320</v>
      </c>
      <c r="G4">
        <v>240</v>
      </c>
      <c r="H4">
        <f t="shared" ref="H4:H5" si="0">F4/G4*10000</f>
        <v>55000</v>
      </c>
    </row>
    <row r="5" spans="6:8">
      <c r="F5">
        <v>1300</v>
      </c>
      <c r="G5">
        <v>260</v>
      </c>
      <c r="H5">
        <f t="shared" si="0"/>
        <v>50000</v>
      </c>
    </row>
  </sheetData>
  <phoneticPr fontId="20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PageLayoutView="90" workbookViewId="0">
      <selection sqref="A1:I1"/>
    </sheetView>
  </sheetViews>
  <sheetFormatPr defaultRowHeight="13.5"/>
  <cols>
    <col min="1" max="1" width="29.875" customWidth="1"/>
    <col min="2" max="9" width="12.25" customWidth="1"/>
  </cols>
  <sheetData>
    <row r="1" spans="1:9" ht="15" thickBot="1">
      <c r="A1" s="3158" t="str">
        <f>IF(项目基本情况!D5="房地产市场价值","估价结果一览表","结果表-2")</f>
        <v>结果表-2</v>
      </c>
      <c r="B1" s="3158"/>
      <c r="C1" s="3158"/>
      <c r="D1" s="3158"/>
      <c r="E1" s="3158"/>
      <c r="F1" s="3158"/>
      <c r="G1" s="3158"/>
      <c r="H1" s="3158"/>
      <c r="I1" s="3158"/>
    </row>
    <row r="2" spans="1:9" ht="30" customHeight="1" thickTop="1">
      <c r="A2" s="3159" t="s">
        <v>3</v>
      </c>
      <c r="B2" s="3159" t="s">
        <v>1890</v>
      </c>
      <c r="C2" s="3159" t="s">
        <v>2735</v>
      </c>
      <c r="D2" s="3159" t="str">
        <f>IF('数据-取费表'!E3="否",结果表!D119,'结果表 (1修多)'!D122)</f>
        <v>出让国有建设用地使用权价值</v>
      </c>
      <c r="E2" s="3159"/>
      <c r="F2" s="3159" t="s">
        <v>683</v>
      </c>
      <c r="G2" s="3159"/>
      <c r="H2" s="3159" t="s">
        <v>4</v>
      </c>
      <c r="I2" s="3159"/>
    </row>
    <row r="3" spans="1:9" ht="14.25">
      <c r="A3" s="3154"/>
      <c r="B3" s="3154"/>
      <c r="C3" s="3154"/>
      <c r="D3" s="1725" t="s">
        <v>5</v>
      </c>
      <c r="E3" s="1725" t="s">
        <v>702</v>
      </c>
      <c r="F3" s="1725" t="s">
        <v>5</v>
      </c>
      <c r="G3" s="1725" t="s">
        <v>6</v>
      </c>
      <c r="H3" s="1725" t="s">
        <v>5</v>
      </c>
      <c r="I3" s="1725" t="s">
        <v>6</v>
      </c>
    </row>
    <row r="4" spans="1:9" ht="46.5" customHeight="1">
      <c r="A4" s="1725" t="str">
        <f>项目基本情况!I1</f>
        <v>北京市房地产</v>
      </c>
      <c r="B4" s="1764">
        <f>结果表!B121</f>
        <v>255.46</v>
      </c>
      <c r="C4" s="1764">
        <f>结果表!C121</f>
        <v>0</v>
      </c>
      <c r="D4" s="1764">
        <f ca="1">IF('数据-取费表'!E3="否",结果表!D121,'结果表 (1修多)'!D124)</f>
        <v>1166</v>
      </c>
      <c r="E4" s="1764">
        <f ca="1">IF('数据-取费表'!E3="否",结果表!E121,'结果表 (1修多)'!E124)</f>
        <v>45643</v>
      </c>
      <c r="F4" s="1764">
        <f ca="1">IF('数据-取费表'!E3="否",结果表!F121,'结果表 (1修多)'!F124)</f>
        <v>110</v>
      </c>
      <c r="G4" s="1764">
        <f ca="1">IF('数据-取费表'!E3="否",结果表!G121,'结果表 (1修多)'!G124)</f>
        <v>4306</v>
      </c>
      <c r="H4" s="1764">
        <f ca="1">IF('数据-取费表'!E3="否",结果表!H121,'结果表 (1修多)'!H124)</f>
        <v>1276</v>
      </c>
      <c r="I4" s="1764">
        <f ca="1">IF('数据-取费表'!E3="否",结果表!I121,'结果表 (1修多)'!I124)</f>
        <v>49949</v>
      </c>
    </row>
    <row r="5" spans="1:9" ht="14.25">
      <c r="A5" s="3154" t="s">
        <v>7</v>
      </c>
      <c r="B5" s="3154"/>
      <c r="C5" s="3154"/>
      <c r="D5" s="3152" t="str">
        <f ca="1">IF('数据-取费表'!E3="否",结果表!D122,'结果表 (1修多)'!D125)</f>
        <v>壹仟壹佰陆拾陆万元整</v>
      </c>
      <c r="E5" s="3152"/>
      <c r="F5" s="3152" t="str">
        <f ca="1">IF('数据-取费表'!E3="否",结果表!F122,'结果表 (1修多)'!F125)</f>
        <v>壹佰壹拾万元整</v>
      </c>
      <c r="G5" s="3152"/>
      <c r="H5" s="3152" t="str">
        <f ca="1">IF('数据-取费表'!E3="否",结果表!H122,'结果表 (1修多)'!H125)</f>
        <v>壹仟贰佰柒拾陆万元整</v>
      </c>
      <c r="I5" s="3152"/>
    </row>
    <row r="6" spans="1:9" ht="15.75">
      <c r="A6" s="3153" t="str">
        <f>IF('数据-取费表'!E3="否",结果表!A123,'结果表 (1修多)'!A126)</f>
        <v>估价师所知悉的法定优先受偿款</v>
      </c>
      <c r="B6" s="3153"/>
      <c r="C6" s="3153"/>
      <c r="D6" s="3135">
        <f>IF('数据-取费表'!E3="否",结果表!D123,'结果表 (1修多)'!D126)</f>
        <v>0</v>
      </c>
      <c r="E6" s="3135"/>
      <c r="F6" s="3135"/>
      <c r="G6" s="3135"/>
      <c r="H6" s="3135"/>
      <c r="I6" s="3135"/>
    </row>
    <row r="7" spans="1:9" ht="14.25">
      <c r="A7" s="3154" t="s">
        <v>7</v>
      </c>
      <c r="B7" s="3154"/>
      <c r="C7" s="3154"/>
      <c r="D7" s="3155">
        <f>IF('数据-取费表'!E3="否",结果表!D124,'结果表 (1修多)'!D127)</f>
        <v>0</v>
      </c>
      <c r="E7" s="3156"/>
      <c r="F7" s="3156"/>
      <c r="G7" s="3156"/>
      <c r="H7" s="3156"/>
      <c r="I7" s="3157"/>
    </row>
    <row r="8" spans="1:9" ht="15.75">
      <c r="A8" s="3153" t="str">
        <f>IF('数据-取费表'!E3="否",结果表!A125,'结果表 (1修多)'!A128)</f>
        <v>房地产抵押价值</v>
      </c>
      <c r="B8" s="3153"/>
      <c r="C8" s="3153"/>
      <c r="D8" s="3135">
        <f ca="1">IF('数据-取费表'!E3="否",结果表!D125,'结果表 (1修多)'!D128)</f>
        <v>1276</v>
      </c>
      <c r="E8" s="3135"/>
      <c r="F8" s="3135"/>
      <c r="G8" s="3135"/>
      <c r="H8" s="3135"/>
      <c r="I8" s="3135"/>
    </row>
    <row r="9" spans="1:9" ht="14.25">
      <c r="A9" s="3154" t="s">
        <v>7</v>
      </c>
      <c r="B9" s="3154"/>
      <c r="C9" s="3154"/>
      <c r="D9" s="3152">
        <f ca="1">IF('数据-取费表'!E3="否",结果表!D126,'结果表 (1修多)'!D129)</f>
        <v>49949</v>
      </c>
      <c r="E9" s="3152"/>
      <c r="F9" s="3152"/>
      <c r="G9" s="3152"/>
      <c r="H9" s="3152"/>
      <c r="I9" s="3152"/>
    </row>
    <row r="10" spans="1:9" ht="15.75">
      <c r="A10" s="3153" t="str">
        <f>IF('数据-取费表'!E3="否",结果表!A127,'结果表 (1修多)'!A130)</f>
        <v/>
      </c>
      <c r="B10" s="3153"/>
      <c r="C10" s="3153"/>
      <c r="D10" s="3135" t="str">
        <f>IF('数据-取费表'!E3="否",结果表!D127,'结果表 (1修多)'!D129)</f>
        <v>——</v>
      </c>
      <c r="E10" s="3135"/>
      <c r="F10" s="3135"/>
      <c r="G10" s="3135"/>
      <c r="H10" s="3135"/>
      <c r="I10" s="3135"/>
    </row>
    <row r="11" spans="1:9" ht="14.25">
      <c r="A11" s="3154" t="s">
        <v>7</v>
      </c>
      <c r="B11" s="3154"/>
      <c r="C11" s="3154"/>
      <c r="D11" s="3152" t="str">
        <f>IF('数据-取费表'!E3="否",结果表!D128,'结果表 (1修多)'!D131)</f>
        <v>——</v>
      </c>
      <c r="E11" s="3152"/>
      <c r="F11" s="3152"/>
      <c r="G11" s="3152"/>
      <c r="H11" s="3152"/>
      <c r="I11" s="3152"/>
    </row>
    <row r="12" spans="1:9" ht="15.75">
      <c r="A12" s="3153" t="str">
        <f>IF('数据-取费表'!E3="否",结果表!A129,'结果表 (1修多)'!A132)</f>
        <v/>
      </c>
      <c r="B12" s="3153"/>
      <c r="C12" s="3153"/>
      <c r="D12" s="3135" t="str">
        <f>IF('数据-取费表'!E3="否",结果表!D129,'结果表 (1修多)'!D132)</f>
        <v>——</v>
      </c>
      <c r="E12" s="3135"/>
      <c r="F12" s="3135"/>
      <c r="G12" s="3135"/>
      <c r="H12" s="3135"/>
      <c r="I12" s="3135"/>
    </row>
    <row r="13" spans="1:9" ht="15" thickBot="1">
      <c r="A13" s="3160" t="s">
        <v>7</v>
      </c>
      <c r="B13" s="3160"/>
      <c r="C13" s="3160"/>
      <c r="D13" s="3161">
        <f>IF('数据-取费表'!E3="否",结果表!D130,'结果表 (1修多)'!D133)</f>
        <v>0</v>
      </c>
      <c r="E13" s="3161"/>
      <c r="F13" s="3161"/>
      <c r="G13" s="3161"/>
      <c r="H13" s="3161"/>
      <c r="I13" s="3161"/>
    </row>
    <row r="14" spans="1:9" ht="14.25" thickTop="1">
      <c r="A14" s="3162" t="str">
        <f>IF('数据-取费表'!E3="否",结果表!A131,'结果表 (1修多)'!A134)</f>
        <v>单位：平方米、万元、元/平方米（币种：人民币）</v>
      </c>
      <c r="B14" s="3162"/>
      <c r="C14" s="3162"/>
      <c r="D14" s="3162"/>
      <c r="E14" s="3162"/>
      <c r="F14" s="3162"/>
      <c r="G14" s="3162"/>
      <c r="H14" s="3162"/>
      <c r="I14" s="3162"/>
    </row>
    <row r="15" spans="1:9">
      <c r="A15" s="1304"/>
      <c r="B15" s="1304"/>
      <c r="C15" s="1304"/>
      <c r="D15" s="1304"/>
      <c r="E15" s="1304"/>
      <c r="F15" s="1304"/>
      <c r="G15" s="1304"/>
      <c r="H15" s="1304"/>
      <c r="I15" s="1304"/>
    </row>
    <row r="16" spans="1:9" ht="18.75">
      <c r="A16" s="1002" t="s">
        <v>1987</v>
      </c>
      <c r="B16" s="1304"/>
      <c r="C16" s="1304"/>
      <c r="D16" s="1304"/>
      <c r="E16" s="1304"/>
      <c r="F16" s="1304"/>
      <c r="G16" s="1304"/>
      <c r="H16" s="1304"/>
      <c r="I16" s="1304"/>
    </row>
    <row r="17" spans="1:9">
      <c r="A17" s="1304"/>
      <c r="B17" s="1304"/>
      <c r="C17" s="1304"/>
      <c r="D17" s="1304"/>
      <c r="E17" s="1304"/>
      <c r="F17" s="1304"/>
      <c r="G17" s="1304"/>
      <c r="H17" s="1304"/>
      <c r="I17" s="1304"/>
    </row>
    <row r="18" spans="1:9">
      <c r="A18" s="1304"/>
      <c r="B18" s="1304"/>
      <c r="C18" s="1304"/>
      <c r="D18" s="1304"/>
      <c r="E18" s="1304"/>
      <c r="F18" s="1304"/>
      <c r="G18" s="1304"/>
      <c r="H18" s="1304"/>
      <c r="I18" s="1304"/>
    </row>
    <row r="19" spans="1:9">
      <c r="A19" s="1304"/>
      <c r="B19" s="1304"/>
      <c r="C19" s="1304"/>
      <c r="D19" s="1304"/>
      <c r="E19" s="1304"/>
      <c r="F19" s="1304"/>
      <c r="G19" s="1304"/>
      <c r="H19" s="1304"/>
      <c r="I19" s="1304"/>
    </row>
    <row r="20" spans="1:9">
      <c r="A20" s="1304"/>
      <c r="B20" s="1304"/>
      <c r="C20" s="1304"/>
      <c r="D20" s="1304"/>
      <c r="E20" s="1304"/>
      <c r="F20" s="1304"/>
      <c r="G20" s="1304"/>
      <c r="H20" s="1304"/>
      <c r="I20" s="1304"/>
    </row>
    <row r="21" spans="1:9">
      <c r="A21" s="1304"/>
      <c r="B21" s="1304"/>
      <c r="C21" s="1304"/>
      <c r="D21" s="1304"/>
      <c r="E21" s="1304"/>
      <c r="F21" s="1304"/>
      <c r="G21" s="1304"/>
      <c r="H21" s="1304"/>
      <c r="I21" s="1304"/>
    </row>
    <row r="22" spans="1:9">
      <c r="A22" s="1304"/>
      <c r="B22" s="1304"/>
      <c r="C22" s="1304"/>
      <c r="D22" s="1304"/>
      <c r="E22" s="1304"/>
      <c r="F22" s="1304"/>
      <c r="G22" s="1304"/>
      <c r="H22" s="1304"/>
      <c r="I22" s="1304"/>
    </row>
    <row r="23" spans="1:9">
      <c r="A23" s="1304"/>
      <c r="B23" s="1304"/>
      <c r="C23" s="1304"/>
      <c r="D23" s="1304"/>
      <c r="E23" s="1304"/>
      <c r="F23" s="1304"/>
      <c r="G23" s="1304"/>
      <c r="H23" s="1304"/>
      <c r="I23" s="1304"/>
    </row>
    <row r="24" spans="1:9">
      <c r="A24" s="1304"/>
      <c r="B24" s="1304"/>
      <c r="C24" s="1304"/>
      <c r="D24" s="1304"/>
      <c r="E24" s="1304"/>
      <c r="F24" s="1304"/>
      <c r="G24" s="1304"/>
      <c r="H24" s="1304"/>
      <c r="I24" s="1304"/>
    </row>
    <row r="25" spans="1:9">
      <c r="A25" s="1304"/>
      <c r="B25" s="1304"/>
      <c r="C25" s="1304"/>
      <c r="D25" s="1304"/>
      <c r="E25" s="1304"/>
      <c r="F25" s="1304"/>
      <c r="G25" s="1304"/>
      <c r="H25" s="1304"/>
      <c r="I25" s="1304"/>
    </row>
    <row r="26" spans="1:9">
      <c r="A26" s="1304"/>
      <c r="B26" s="1304"/>
      <c r="C26" s="1304"/>
      <c r="D26" s="1304"/>
      <c r="E26" s="1304"/>
      <c r="F26" s="1304"/>
      <c r="G26" s="1304"/>
      <c r="H26" s="1304"/>
      <c r="I26" s="13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8" t="s">
        <v>2747</v>
      </c>
      <c r="B1" s="3168"/>
      <c r="C1" s="3168"/>
      <c r="D1" s="3168"/>
    </row>
    <row r="2" spans="1:4" ht="18.75">
      <c r="A2" s="3167" t="s">
        <v>1989</v>
      </c>
      <c r="B2" s="3167"/>
      <c r="C2" s="3167"/>
      <c r="D2" s="3167"/>
    </row>
    <row r="3" spans="1:4" ht="18.75">
      <c r="A3" s="2424" t="s">
        <v>1990</v>
      </c>
      <c r="B3" s="2424" t="s">
        <v>1991</v>
      </c>
      <c r="C3" s="2424" t="s">
        <v>1992</v>
      </c>
      <c r="D3" s="2424" t="s">
        <v>1993</v>
      </c>
    </row>
    <row r="4" spans="1:4" ht="56.25" customHeight="1">
      <c r="A4" s="2425" t="str">
        <f>项目基本情况!B3</f>
        <v>吴薇</v>
      </c>
      <c r="B4" s="2426">
        <f ca="1">项目基本情况!C3</f>
        <v>1419970001</v>
      </c>
      <c r="C4" s="2429"/>
      <c r="D4" s="2427" t="s">
        <v>1997</v>
      </c>
    </row>
    <row r="5" spans="1:4" ht="56.25" customHeight="1">
      <c r="A5" s="2425" t="str">
        <f>项目基本情况!D3</f>
        <v>刘梅</v>
      </c>
      <c r="B5" s="2426">
        <f ca="1">项目基本情况!E3</f>
        <v>1120140022</v>
      </c>
      <c r="C5" s="2430"/>
      <c r="D5" s="2427" t="s">
        <v>1997</v>
      </c>
    </row>
    <row r="6" spans="1:4" ht="12" customHeight="1">
      <c r="A6" s="2425"/>
      <c r="B6" s="2426"/>
      <c r="C6" s="2656"/>
      <c r="D6" s="2427"/>
    </row>
    <row r="7" spans="1:4" ht="18.75">
      <c r="A7" s="3167" t="s">
        <v>2518</v>
      </c>
      <c r="B7" s="3167"/>
      <c r="C7" s="3167"/>
      <c r="D7" s="3167"/>
    </row>
    <row r="8" spans="1:4" ht="18.75">
      <c r="A8" s="2424" t="s">
        <v>1990</v>
      </c>
      <c r="B8" s="2426" t="s">
        <v>1995</v>
      </c>
      <c r="C8" s="2424" t="s">
        <v>1992</v>
      </c>
      <c r="D8" s="2424" t="s">
        <v>1993</v>
      </c>
    </row>
    <row r="9" spans="1:4" ht="56.25" customHeight="1">
      <c r="A9" s="2428" t="s">
        <v>1994</v>
      </c>
      <c r="B9" s="2428" t="s">
        <v>1996</v>
      </c>
      <c r="C9" s="2429"/>
      <c r="D9" s="2427" t="s">
        <v>1997</v>
      </c>
    </row>
    <row r="11" spans="1:4" ht="18.75">
      <c r="A11" s="1796" t="s">
        <v>1982</v>
      </c>
    </row>
    <row r="12" spans="1:4" ht="30" customHeight="1">
      <c r="A12" s="3169" t="s">
        <v>2578</v>
      </c>
      <c r="B12" s="3170"/>
      <c r="C12" s="3170"/>
      <c r="D12" s="3170"/>
    </row>
    <row r="13" spans="1:4" ht="14.25">
      <c r="A13" s="31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5"/>
      <c r="C13" s="3165"/>
      <c r="D13" s="3165"/>
    </row>
    <row r="14" spans="1:4" ht="30" customHeight="1">
      <c r="A14" s="316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5"/>
      <c r="C14" s="3165"/>
      <c r="D14" s="3165"/>
    </row>
    <row r="15" spans="1:4" ht="15.75" customHeight="1">
      <c r="A15" s="3163" t="str">
        <f>IF(项目基本情况!D4="抵押","4.本次评估估价师所知悉的法定优先受偿款情况说明如下：","——")</f>
        <v>4.本次评估估价师所知悉的法定优先受偿款情况说明如下：</v>
      </c>
      <c r="B15" s="3165"/>
      <c r="C15" s="3165"/>
      <c r="D15" s="3165"/>
    </row>
    <row r="16" spans="1:4" ht="75" customHeight="1">
      <c r="A16" s="3163"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63"/>
      <c r="C16" s="3163"/>
      <c r="D16" s="3163"/>
    </row>
    <row r="17" spans="1:4" ht="63.75" customHeight="1">
      <c r="A17" s="3166" t="s">
        <v>2008</v>
      </c>
      <c r="B17" s="3166"/>
      <c r="C17" s="3166"/>
      <c r="D17" s="3166"/>
    </row>
    <row r="18" spans="1:4" ht="15.75" customHeight="1">
      <c r="A18" s="3163" t="str">
        <f>IF(项目基本情况!D4="抵押",结果表!K106,"——")</f>
        <v>本次评估不存在估价师所知悉的法定优先受偿款。</v>
      </c>
      <c r="B18" s="3163"/>
      <c r="C18" s="3163"/>
      <c r="D18" s="3163"/>
    </row>
    <row r="19" spans="1:4" ht="46.5" customHeight="1">
      <c r="A19" s="31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3"/>
      <c r="C19" s="3163"/>
      <c r="D19" s="3163"/>
    </row>
    <row r="20" spans="1:4" ht="15">
      <c r="A20" s="3164" t="s">
        <v>2721</v>
      </c>
      <c r="B20" s="3164"/>
      <c r="C20" s="3164"/>
      <c r="D20" s="3164"/>
    </row>
    <row r="21" spans="1:4">
      <c r="A21" s="1863"/>
      <c r="B21" s="1864"/>
      <c r="C21" s="1864"/>
      <c r="D21" s="1864"/>
    </row>
    <row r="22" spans="1:4">
      <c r="A22" s="1863"/>
      <c r="B22" s="1864"/>
      <c r="C22" s="1864"/>
      <c r="D22" s="1864"/>
    </row>
    <row r="23" spans="1:4" ht="18.75">
      <c r="A23" s="1750" t="s">
        <v>2720</v>
      </c>
    </row>
    <row r="24" spans="1:4" ht="18.75">
      <c r="A24" s="1750"/>
    </row>
    <row r="25" spans="1:4" ht="18.75">
      <c r="A25" s="1750" t="s">
        <v>1983</v>
      </c>
    </row>
    <row r="28" spans="1:4" ht="21" customHeight="1">
      <c r="D28" s="1790" t="s">
        <v>1984</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6" customWidth="1"/>
    <col min="2" max="16384" width="14.5" style="1004"/>
  </cols>
  <sheetData>
    <row r="1" spans="1:7" s="1002" customFormat="1" ht="18.75">
      <c r="A1" s="1001" t="s">
        <v>574</v>
      </c>
    </row>
    <row r="3" spans="1:7">
      <c r="A3" s="1003" t="s">
        <v>551</v>
      </c>
      <c r="B3" s="1004" t="s">
        <v>552</v>
      </c>
      <c r="G3" s="1005"/>
    </row>
    <row r="4" spans="1:7">
      <c r="G4" s="1005"/>
    </row>
    <row r="5" spans="1:7">
      <c r="A5" s="1007" t="s">
        <v>547</v>
      </c>
      <c r="B5" s="1004" t="s">
        <v>553</v>
      </c>
      <c r="G5" s="1005"/>
    </row>
    <row r="6" spans="1:7">
      <c r="G6" s="1005"/>
    </row>
    <row r="7" spans="1:7">
      <c r="A7" s="1008" t="s">
        <v>1053</v>
      </c>
      <c r="B7" s="1004" t="s">
        <v>554</v>
      </c>
      <c r="G7" s="1005"/>
    </row>
    <row r="8" spans="1:7">
      <c r="G8" s="1005"/>
    </row>
    <row r="9" spans="1:7">
      <c r="A9" s="1009" t="s">
        <v>548</v>
      </c>
      <c r="B9" s="1004" t="s">
        <v>555</v>
      </c>
    </row>
    <row r="11" spans="1:7">
      <c r="A11" s="1010" t="s">
        <v>549</v>
      </c>
      <c r="B11" s="1011" t="s">
        <v>546</v>
      </c>
    </row>
    <row r="13" spans="1:7">
      <c r="A13" s="1012" t="s">
        <v>556</v>
      </c>
    </row>
    <row r="15" spans="1:7" ht="13.5">
      <c r="A15" s="3176" t="s">
        <v>557</v>
      </c>
      <c r="B15" s="3171" t="s">
        <v>1054</v>
      </c>
      <c r="C15" s="3172"/>
    </row>
    <row r="16" spans="1:7" ht="13.5">
      <c r="A16" s="3177"/>
      <c r="B16" s="3171" t="s">
        <v>543</v>
      </c>
      <c r="C16" s="3172"/>
    </row>
    <row r="17" spans="1:3" ht="13.5">
      <c r="A17" s="3177"/>
      <c r="B17" s="3171" t="s">
        <v>1907</v>
      </c>
      <c r="C17" s="3172"/>
    </row>
    <row r="18" spans="1:3" ht="13.5">
      <c r="A18" s="3178"/>
      <c r="B18" s="3173" t="s">
        <v>558</v>
      </c>
      <c r="C18" s="3172"/>
    </row>
    <row r="19" spans="1:3" ht="13.5">
      <c r="A19" s="1014" t="s">
        <v>559</v>
      </c>
      <c r="B19" s="1015"/>
      <c r="C19" s="1016"/>
    </row>
    <row r="20" spans="1:3" ht="13.5">
      <c r="A20" s="3174" t="s">
        <v>560</v>
      </c>
      <c r="B20" s="3173" t="s">
        <v>561</v>
      </c>
      <c r="C20" s="3172"/>
    </row>
    <row r="21" spans="1:3" ht="13.5">
      <c r="A21" s="3174"/>
      <c r="B21" s="3173" t="s">
        <v>562</v>
      </c>
      <c r="C21" s="3172"/>
    </row>
    <row r="22" spans="1:3" ht="13.5">
      <c r="A22" s="3174"/>
      <c r="B22" s="3173" t="s">
        <v>563</v>
      </c>
      <c r="C22" s="3172"/>
    </row>
    <row r="23" spans="1:3" ht="13.5">
      <c r="A23" s="3174"/>
      <c r="B23" s="3175" t="s">
        <v>564</v>
      </c>
      <c r="C23" s="1013" t="s">
        <v>565</v>
      </c>
    </row>
    <row r="24" spans="1:3" ht="13.5">
      <c r="A24" s="3174"/>
      <c r="B24" s="3175"/>
      <c r="C24" s="1013" t="s">
        <v>566</v>
      </c>
    </row>
    <row r="25" spans="1:3" ht="13.5">
      <c r="A25" s="3174"/>
      <c r="B25" s="3175"/>
      <c r="C25" s="1013" t="s">
        <v>567</v>
      </c>
    </row>
    <row r="26" spans="1:3" ht="13.5">
      <c r="A26" s="3174"/>
      <c r="B26" s="3175"/>
      <c r="C26" s="1013" t="s">
        <v>568</v>
      </c>
    </row>
    <row r="27" spans="1:3" ht="13.5">
      <c r="A27" s="3174"/>
      <c r="B27" s="3175"/>
      <c r="C27" s="1013" t="s">
        <v>569</v>
      </c>
    </row>
    <row r="28" spans="1:3" ht="13.5">
      <c r="A28" s="3174"/>
      <c r="B28" s="3175"/>
      <c r="C28" s="1013" t="s">
        <v>570</v>
      </c>
    </row>
    <row r="29" spans="1:3" ht="13.5">
      <c r="A29" s="3174"/>
      <c r="B29" s="3175"/>
      <c r="C29" s="1013" t="s">
        <v>571</v>
      </c>
    </row>
    <row r="30" spans="1:3" ht="13.5">
      <c r="A30" s="3174"/>
      <c r="B30" s="3175"/>
      <c r="C30" s="1013" t="s">
        <v>572</v>
      </c>
    </row>
    <row r="31" spans="1:3" ht="13.5">
      <c r="A31" s="3174"/>
      <c r="B31" s="3175"/>
      <c r="C31" s="1013" t="s">
        <v>573</v>
      </c>
    </row>
    <row r="32" spans="1:3">
      <c r="A32" s="1017"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SheetLayoutView="80" workbookViewId="0">
      <selection activeCell="B17" sqref="A17:XFD2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1914</v>
      </c>
      <c r="B2" s="1727">
        <f ca="1">TODAY()</f>
        <v>43003</v>
      </c>
      <c r="C2" s="1728" t="s">
        <v>1915</v>
      </c>
      <c r="D2" s="1728"/>
      <c r="E2" s="1728"/>
    </row>
    <row r="3" spans="1:8" ht="24" customHeight="1">
      <c r="A3" s="1730" t="s">
        <v>1916</v>
      </c>
      <c r="B3" s="1731" t="s">
        <v>1917</v>
      </c>
      <c r="C3" s="1731" t="s">
        <v>1918</v>
      </c>
      <c r="D3" s="1759" t="s">
        <v>1949</v>
      </c>
      <c r="E3" s="1732" t="s">
        <v>1919</v>
      </c>
      <c r="F3" s="1733" t="s">
        <v>1920</v>
      </c>
      <c r="G3" s="1731" t="s">
        <v>1918</v>
      </c>
      <c r="H3" s="1759" t="s">
        <v>1950</v>
      </c>
    </row>
    <row r="4" spans="1:8" ht="24" customHeight="1">
      <c r="A4" s="2991" t="s">
        <v>1921</v>
      </c>
      <c r="B4" s="1733">
        <f ca="1">IF(C4&lt;B2,"已过期",1119970066)</f>
        <v>1119970066</v>
      </c>
      <c r="C4" s="2992">
        <v>43849</v>
      </c>
      <c r="D4" s="2993" t="str">
        <f ca="1">A4&amp;"（注册号："&amp;B4&amp;"）"</f>
        <v>梁津（注册号：1119970066）</v>
      </c>
      <c r="E4" s="2991" t="s">
        <v>1921</v>
      </c>
      <c r="F4" s="1733">
        <f ca="1">IF(G4&lt;B2,"已过期",96010014)</f>
        <v>96010014</v>
      </c>
      <c r="G4" s="1741">
        <v>47118</v>
      </c>
      <c r="H4" s="2994" t="str">
        <f ca="1">E4&amp;"（注册号："&amp;F4&amp;"）"</f>
        <v>梁津（注册号：96010014）</v>
      </c>
    </row>
    <row r="5" spans="1:8" ht="24" customHeight="1">
      <c r="A5" s="2991" t="s">
        <v>1922</v>
      </c>
      <c r="B5" s="1733">
        <f ca="1">IF(C5&lt;B2,"已过期",1119970074)</f>
        <v>1119970074</v>
      </c>
      <c r="C5" s="2992">
        <v>43849</v>
      </c>
      <c r="D5" s="2993" t="str">
        <f t="shared" ref="D5:D23" ca="1" si="0">A5&amp;"（注册号："&amp;B5&amp;"）"</f>
        <v>李立（注册号：1119970074）</v>
      </c>
      <c r="E5" s="2991" t="s">
        <v>1922</v>
      </c>
      <c r="F5" s="1733">
        <f ca="1">IF(G5&lt;B2,"已过期",2002110027)</f>
        <v>2002110027</v>
      </c>
      <c r="G5" s="1741">
        <v>46752</v>
      </c>
      <c r="H5" s="2994" t="str">
        <f t="shared" ref="H5:H24" ca="1" si="1">E5&amp;"（注册号："&amp;F5&amp;"）"</f>
        <v>李立（注册号：2002110027）</v>
      </c>
    </row>
    <row r="6" spans="1:8" ht="24" customHeight="1">
      <c r="A6" s="2991" t="s">
        <v>1923</v>
      </c>
      <c r="B6" s="1733">
        <f ca="1">IF(C6&lt;B2,"已过期",1119970111)</f>
        <v>1119970111</v>
      </c>
      <c r="C6" s="2992">
        <v>43849</v>
      </c>
      <c r="D6" s="2993" t="str">
        <f t="shared" ca="1" si="0"/>
        <v>叶凌（注册号：1119970111）</v>
      </c>
      <c r="E6" s="2991" t="s">
        <v>1923</v>
      </c>
      <c r="F6" s="1733">
        <f ca="1">IF(G6&lt;B2,"已过期",94010078)</f>
        <v>94010078</v>
      </c>
      <c r="G6" s="1741">
        <v>46387</v>
      </c>
      <c r="H6" s="2994" t="str">
        <f t="shared" ca="1" si="1"/>
        <v>叶凌（注册号：94010078）</v>
      </c>
    </row>
    <row r="7" spans="1:8" ht="24" customHeight="1">
      <c r="A7" s="2991" t="s">
        <v>1924</v>
      </c>
      <c r="B7" s="1733">
        <f ca="1">IF(C7&lt;B2,"已过期",1120050019)</f>
        <v>1120050019</v>
      </c>
      <c r="C7" s="2992">
        <v>43359</v>
      </c>
      <c r="D7" s="2993" t="str">
        <f t="shared" ca="1" si="0"/>
        <v>王鹏（注册号：1120050019）</v>
      </c>
      <c r="E7" s="2991" t="s">
        <v>1924</v>
      </c>
      <c r="F7" s="1733">
        <f ca="1">IF(G7&lt;B2,"已过期",2002110030)</f>
        <v>2002110030</v>
      </c>
      <c r="G7" s="1741">
        <v>46387</v>
      </c>
      <c r="H7" s="2994" t="str">
        <f t="shared" ca="1" si="1"/>
        <v>王鹏（注册号：2002110030）</v>
      </c>
    </row>
    <row r="8" spans="1:8" ht="24" customHeight="1">
      <c r="A8" s="2991" t="s">
        <v>1925</v>
      </c>
      <c r="B8" s="1733">
        <f ca="1">IF(C8&lt;B2,"已过期",1120000080)</f>
        <v>1120000080</v>
      </c>
      <c r="C8" s="2992">
        <v>43849</v>
      </c>
      <c r="D8" s="2993" t="str">
        <f t="shared" ca="1" si="0"/>
        <v>欧红伟（注册号：1120000080）</v>
      </c>
      <c r="E8" s="2991" t="s">
        <v>1925</v>
      </c>
      <c r="F8" s="1733">
        <f ca="1">IF(G8&lt;B2,"已过期",2000110082)</f>
        <v>2000110082</v>
      </c>
      <c r="G8" s="1741">
        <v>46387</v>
      </c>
      <c r="H8" s="2994" t="str">
        <f t="shared" ca="1" si="1"/>
        <v>欧红伟（注册号：2000110082）</v>
      </c>
    </row>
    <row r="9" spans="1:8" ht="24" customHeight="1">
      <c r="A9" s="2991" t="s">
        <v>1926</v>
      </c>
      <c r="B9" s="1733">
        <f ca="1">IF(C9&lt;B2,"已过期",1419970001)</f>
        <v>1419970001</v>
      </c>
      <c r="C9" s="2992">
        <v>43867</v>
      </c>
      <c r="D9" s="2993" t="str">
        <f t="shared" ca="1" si="0"/>
        <v>吴薇（注册号：1419970001）</v>
      </c>
      <c r="E9" s="2991" t="s">
        <v>1926</v>
      </c>
      <c r="F9" s="1733">
        <f ca="1">IF(G9&lt;B2,"已过期",2002110125)</f>
        <v>2002110125</v>
      </c>
      <c r="G9" s="1741">
        <v>47118</v>
      </c>
      <c r="H9" s="2994" t="str">
        <f t="shared" ca="1" si="1"/>
        <v>吴薇（注册号：2002110125）</v>
      </c>
    </row>
    <row r="10" spans="1:8" ht="24" customHeight="1">
      <c r="A10" s="2991" t="s">
        <v>1927</v>
      </c>
      <c r="B10" s="1733">
        <f ca="1">IF(C10&lt;B2,"已过期",1120060040)</f>
        <v>1120060040</v>
      </c>
      <c r="C10" s="2992">
        <v>43483</v>
      </c>
      <c r="D10" s="2993" t="str">
        <f t="shared" ca="1" si="0"/>
        <v>陈颖（注册号：1120060040）</v>
      </c>
      <c r="E10" s="2991" t="s">
        <v>1927</v>
      </c>
      <c r="F10" s="1733">
        <f ca="1">IF(G10&lt;B2,"已过期",2004110096)</f>
        <v>2004110096</v>
      </c>
      <c r="G10" s="1741">
        <v>47118</v>
      </c>
      <c r="H10" s="2994" t="str">
        <f t="shared" ca="1" si="1"/>
        <v>陈颖（注册号：2004110096）</v>
      </c>
    </row>
    <row r="11" spans="1:8" ht="24" customHeight="1">
      <c r="A11" s="2991" t="s">
        <v>1928</v>
      </c>
      <c r="B11" s="1733">
        <f ca="1">IF(C11&lt;B2,"已过期",1120100036)</f>
        <v>1120100036</v>
      </c>
      <c r="C11" s="2992">
        <v>43622</v>
      </c>
      <c r="D11" s="2993" t="str">
        <f t="shared" ca="1" si="0"/>
        <v>崔锴（注册号：1120100036）</v>
      </c>
      <c r="E11" s="2991" t="s">
        <v>1928</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1929</v>
      </c>
      <c r="G12" s="1733" t="s">
        <v>1929</v>
      </c>
      <c r="H12" s="2994" t="str">
        <f t="shared" si="1"/>
        <v>（注册号：——）</v>
      </c>
    </row>
    <row r="13" spans="1:8" ht="24" customHeight="1">
      <c r="A13" s="2991" t="s">
        <v>1930</v>
      </c>
      <c r="B13" s="1733">
        <f ca="1">IF(C13&lt;B2,"已过期",1120070131)</f>
        <v>1120070131</v>
      </c>
      <c r="C13" s="2992">
        <v>43814</v>
      </c>
      <c r="D13" s="2993" t="str">
        <f t="shared" ca="1" si="0"/>
        <v>郑燚（注册号：1120070131）</v>
      </c>
      <c r="E13" s="2991" t="s">
        <v>1930</v>
      </c>
      <c r="F13" s="1733">
        <v>2014110011</v>
      </c>
      <c r="G13" s="1741">
        <v>49302</v>
      </c>
      <c r="H13" s="2994" t="str">
        <f t="shared" si="1"/>
        <v>郑燚（注册号：2014110011）</v>
      </c>
    </row>
    <row r="14" spans="1:8" ht="24" customHeight="1">
      <c r="A14" s="2991" t="s">
        <v>1932</v>
      </c>
      <c r="B14" s="1733">
        <f ca="1">IF(C14&lt;B2,"已过期",1120130020)</f>
        <v>1120130020</v>
      </c>
      <c r="C14" s="2992">
        <v>43622</v>
      </c>
      <c r="D14" s="2993" t="str">
        <f t="shared" ca="1" si="0"/>
        <v>马琳琳（注册号：1120130020）</v>
      </c>
      <c r="E14" s="2991"/>
      <c r="F14" s="1733" t="s">
        <v>1931</v>
      </c>
      <c r="G14" s="1733" t="s">
        <v>1931</v>
      </c>
      <c r="H14" s="2994" t="str">
        <f t="shared" si="1"/>
        <v>（注册号：——）</v>
      </c>
    </row>
    <row r="15" spans="1:8" ht="24" customHeight="1">
      <c r="A15" s="2995" t="s">
        <v>2576</v>
      </c>
      <c r="B15" s="1733">
        <v>1120070085</v>
      </c>
      <c r="C15" s="2992">
        <v>43814</v>
      </c>
      <c r="D15" s="2993" t="str">
        <f t="shared" si="0"/>
        <v>杨红英（注册号：1120070085）</v>
      </c>
      <c r="E15" s="2995" t="s">
        <v>2577</v>
      </c>
      <c r="F15" s="1733">
        <v>2004110128</v>
      </c>
      <c r="G15" s="1734">
        <v>47118</v>
      </c>
      <c r="H15" s="2994" t="str">
        <f t="shared" si="1"/>
        <v>杨红英（注册号：2004110128）</v>
      </c>
    </row>
    <row r="16" spans="1:8" ht="24" customHeight="1">
      <c r="A16" s="2991" t="s">
        <v>1933</v>
      </c>
      <c r="B16" s="1733">
        <f ca="1">IF(C16&lt;B2,"已过期",1120140022)</f>
        <v>1120140022</v>
      </c>
      <c r="C16" s="2992">
        <v>44029</v>
      </c>
      <c r="D16" s="2993" t="str">
        <f t="shared" ca="1" si="0"/>
        <v>刘梅（注册号：1120140022）</v>
      </c>
      <c r="E16" s="2991" t="s">
        <v>1933</v>
      </c>
      <c r="F16" s="1733">
        <f ca="1">IF(G16&lt;B2,"已过期",2008110059)</f>
        <v>2008110059</v>
      </c>
      <c r="G16" s="1741">
        <v>47177</v>
      </c>
      <c r="H16" s="2994" t="str">
        <f t="shared" ca="1" si="1"/>
        <v>刘梅（注册号：2008110059）</v>
      </c>
    </row>
    <row r="17" spans="1:8" ht="24" customHeight="1">
      <c r="A17" s="2991"/>
      <c r="B17" s="1733"/>
      <c r="C17" s="2992"/>
      <c r="D17" s="2993"/>
      <c r="E17" s="2991"/>
      <c r="F17" s="1733"/>
      <c r="G17" s="1741"/>
      <c r="H17" s="2994"/>
    </row>
    <row r="18" spans="1:8" ht="24" customHeight="1">
      <c r="A18" s="2991"/>
      <c r="B18" s="1733"/>
      <c r="C18" s="2992"/>
      <c r="D18" s="2993"/>
      <c r="E18" s="2991"/>
      <c r="F18" s="1733"/>
      <c r="G18" s="1741"/>
      <c r="H18" s="2994"/>
    </row>
    <row r="19" spans="1:8" ht="24" customHeight="1">
      <c r="A19" s="2991"/>
      <c r="B19" s="1733"/>
      <c r="C19" s="2992"/>
      <c r="D19" s="2993"/>
      <c r="E19" s="2991"/>
      <c r="F19" s="1733"/>
      <c r="G19" s="1733"/>
      <c r="H19" s="2994"/>
    </row>
    <row r="20" spans="1:8" ht="24" customHeight="1">
      <c r="A20" s="2991"/>
      <c r="B20" s="1733"/>
      <c r="C20" s="2992"/>
      <c r="D20" s="2993"/>
      <c r="E20" s="2991"/>
      <c r="F20" s="1733"/>
      <c r="G20" s="1733"/>
      <c r="H20" s="2994"/>
    </row>
    <row r="21" spans="1:8" ht="24" customHeight="1">
      <c r="A21" s="2991"/>
      <c r="B21" s="1733"/>
      <c r="C21" s="2992"/>
      <c r="D21" s="2993" t="str">
        <f t="shared" si="0"/>
        <v>（注册号：）</v>
      </c>
      <c r="E21" s="2991" t="s">
        <v>1934</v>
      </c>
      <c r="F21" s="1733">
        <f ca="1">IF(G21&lt;B2,"已过期",2011110090)</f>
        <v>2011110090</v>
      </c>
      <c r="G21" s="1741">
        <v>48302</v>
      </c>
      <c r="H21" s="2994" t="str">
        <f t="shared" ca="1" si="1"/>
        <v>赵雯（注册号：2011110090）</v>
      </c>
    </row>
    <row r="22" spans="1:8" ht="24" customHeight="1">
      <c r="A22" s="2991" t="s">
        <v>1935</v>
      </c>
      <c r="B22" s="1733">
        <f ca="1">IF(C22&lt;B2,"已过期",1120020033)</f>
        <v>1120020033</v>
      </c>
      <c r="C22" s="2992">
        <v>43304</v>
      </c>
      <c r="D22" s="2993" t="str">
        <f t="shared" ca="1" si="0"/>
        <v>刘敬东（注册号：1120020033）</v>
      </c>
      <c r="E22" s="2991" t="s">
        <v>1935</v>
      </c>
      <c r="F22" s="1733">
        <f ca="1">IF(G22&lt;B2,"已过期",2000110137)</f>
        <v>2000110137</v>
      </c>
      <c r="G22" s="1741">
        <v>46387</v>
      </c>
      <c r="H22" s="2994" t="str">
        <f t="shared" ca="1" si="1"/>
        <v>刘敬东（注册号：2000110137）</v>
      </c>
    </row>
    <row r="23" spans="1:8" ht="24" customHeight="1">
      <c r="A23" s="2991" t="s">
        <v>1936</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1931</v>
      </c>
      <c r="B24" s="1733" t="s">
        <v>1931</v>
      </c>
      <c r="C24" s="1733" t="s">
        <v>1931</v>
      </c>
      <c r="D24" s="2993" t="str">
        <f>A24&amp;"（注册号："&amp;B24&amp;"）"</f>
        <v>——（注册号：——）</v>
      </c>
      <c r="E24" s="1733" t="s">
        <v>1931</v>
      </c>
      <c r="F24" s="1733" t="s">
        <v>1931</v>
      </c>
      <c r="G24" s="1733" t="s">
        <v>1931</v>
      </c>
      <c r="H24" s="2994" t="str">
        <f t="shared" si="1"/>
        <v>——（注册号：——）</v>
      </c>
    </row>
    <row r="25" spans="1:8" ht="24" customHeight="1">
      <c r="A25" s="3179" t="s">
        <v>1937</v>
      </c>
      <c r="B25" s="3179"/>
      <c r="C25" s="3179"/>
      <c r="D25" s="3179"/>
      <c r="E25" s="3179"/>
      <c r="F25" s="3179"/>
      <c r="G25" s="3179"/>
      <c r="H25" s="3179"/>
    </row>
    <row r="26" spans="1:8" s="1736" customFormat="1" ht="24" customHeight="1">
      <c r="A26" s="3180" t="s">
        <v>1938</v>
      </c>
      <c r="B26" s="3180"/>
      <c r="C26" s="3180"/>
      <c r="D26" s="1810"/>
      <c r="E26" s="1810"/>
      <c r="F26" s="3180" t="s">
        <v>1939</v>
      </c>
      <c r="G26" s="3180"/>
      <c r="H26" s="3180"/>
    </row>
    <row r="27" spans="1:8" s="1738" customFormat="1" ht="24" customHeight="1">
      <c r="A27" s="1737" t="s">
        <v>1940</v>
      </c>
      <c r="B27" s="1731" t="s">
        <v>1941</v>
      </c>
      <c r="C27" s="1731" t="s">
        <v>1942</v>
      </c>
      <c r="D27" s="1731"/>
      <c r="E27" s="1731"/>
      <c r="F27" s="1733" t="s">
        <v>1940</v>
      </c>
      <c r="G27" s="1731" t="s">
        <v>1941</v>
      </c>
      <c r="H27" s="1731" t="s">
        <v>1942</v>
      </c>
    </row>
    <row r="28" spans="1:8" s="1738" customFormat="1" ht="24" customHeight="1">
      <c r="A28" s="1739" t="s">
        <v>1943</v>
      </c>
      <c r="B28" s="1740" t="s">
        <v>1944</v>
      </c>
      <c r="C28" s="1741">
        <v>43725</v>
      </c>
      <c r="D28" s="1741"/>
      <c r="E28" s="1741"/>
      <c r="F28" s="1739" t="s">
        <v>1945</v>
      </c>
      <c r="G28" s="1739" t="s">
        <v>1946</v>
      </c>
      <c r="H28" s="1905">
        <v>44377</v>
      </c>
    </row>
    <row r="29" spans="1:8" s="1738" customFormat="1" ht="24" customHeight="1">
      <c r="A29" s="1739"/>
      <c r="B29" s="1739"/>
      <c r="C29" s="1742"/>
      <c r="D29" s="1742"/>
      <c r="E29" s="1742"/>
      <c r="F29" s="1739" t="s">
        <v>1947</v>
      </c>
      <c r="G29" s="1743" t="s">
        <v>2905</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9" priority="65">
      <formula>AND($C24-TODAY()&lt;30,TODAY()&lt;$C24)</formula>
    </cfRule>
  </conditionalFormatting>
  <conditionalFormatting sqref="C28:E28">
    <cfRule type="expression" dxfId="218" priority="64">
      <formula>AND($C28-TODAY()&lt;30,TODAY()&lt;$C28)</formula>
    </cfRule>
  </conditionalFormatting>
  <conditionalFormatting sqref="C28:E28 G4">
    <cfRule type="cellIs" dxfId="217" priority="66" stopIfTrue="1" operator="lessThan">
      <formula>$B$2</formula>
    </cfRule>
  </conditionalFormatting>
  <conditionalFormatting sqref="D5">
    <cfRule type="expression" dxfId="216" priority="61">
      <formula>AND($C5-TODAY()&lt;30,TODAY()&lt;$C5)</formula>
    </cfRule>
  </conditionalFormatting>
  <conditionalFormatting sqref="D5 G5">
    <cfRule type="cellIs" dxfId="215" priority="62" stopIfTrue="1" operator="lessThan">
      <formula>$B$2</formula>
    </cfRule>
  </conditionalFormatting>
  <conditionalFormatting sqref="G6 G8 G10">
    <cfRule type="cellIs" dxfId="214" priority="60" stopIfTrue="1" operator="lessThan">
      <formula>$B$2</formula>
    </cfRule>
  </conditionalFormatting>
  <conditionalFormatting sqref="D24 C7:D7 D4:D6 C10:D12 D8:D9 C14:D14 D13 C16:D23 D15">
    <cfRule type="expression" dxfId="213" priority="58">
      <formula>AND($C4-TODAY()&lt;30,TODAY()&lt;$C4)</formula>
    </cfRule>
  </conditionalFormatting>
  <conditionalFormatting sqref="G7 G9 G11 D24 C7:D7 D4:D6 C10:D12 D8:D9 C14:D14 D13 C16:D23 D15">
    <cfRule type="cellIs" dxfId="212" priority="59" stopIfTrue="1" operator="lessThan">
      <formula>$B$2</formula>
    </cfRule>
  </conditionalFormatting>
  <conditionalFormatting sqref="C12:D12">
    <cfRule type="expression" dxfId="211" priority="56">
      <formula>AND($C12-TODAY()&lt;30,TODAY()&lt;$C12)</formula>
    </cfRule>
  </conditionalFormatting>
  <conditionalFormatting sqref="C12:D12">
    <cfRule type="cellIs" dxfId="210" priority="57" stopIfTrue="1" operator="lessThan">
      <formula>$B$2</formula>
    </cfRule>
  </conditionalFormatting>
  <conditionalFormatting sqref="C14:D14">
    <cfRule type="expression" dxfId="209" priority="52">
      <formula>AND($C14-TODAY()&lt;30,TODAY()&lt;$C14)</formula>
    </cfRule>
  </conditionalFormatting>
  <conditionalFormatting sqref="C14:D14">
    <cfRule type="cellIs" dxfId="208" priority="53" stopIfTrue="1" operator="lessThan">
      <formula>$B$2</formula>
    </cfRule>
  </conditionalFormatting>
  <conditionalFormatting sqref="C16:D16">
    <cfRule type="expression" dxfId="207" priority="50">
      <formula>AND($C16-TODAY()&lt;30,TODAY()&lt;$C16)</formula>
    </cfRule>
  </conditionalFormatting>
  <conditionalFormatting sqref="C16:D16">
    <cfRule type="cellIs" dxfId="206" priority="51" stopIfTrue="1" operator="lessThan">
      <formula>$B$2</formula>
    </cfRule>
  </conditionalFormatting>
  <conditionalFormatting sqref="C18:D18">
    <cfRule type="expression" dxfId="205" priority="48">
      <formula>AND($C18-TODAY()&lt;30,TODAY()&lt;$C18)</formula>
    </cfRule>
  </conditionalFormatting>
  <conditionalFormatting sqref="C18:D18">
    <cfRule type="cellIs" dxfId="204" priority="49" stopIfTrue="1" operator="lessThan">
      <formula>$B$2</formula>
    </cfRule>
  </conditionalFormatting>
  <conditionalFormatting sqref="C20:D20">
    <cfRule type="expression" dxfId="203" priority="46">
      <formula>AND($C20-TODAY()&lt;30,TODAY()&lt;$C20)</formula>
    </cfRule>
  </conditionalFormatting>
  <conditionalFormatting sqref="C20:D20">
    <cfRule type="cellIs" dxfId="202" priority="47" stopIfTrue="1" operator="lessThan">
      <formula>$B$2</formula>
    </cfRule>
  </conditionalFormatting>
  <conditionalFormatting sqref="C22:D22">
    <cfRule type="expression" dxfId="201" priority="44">
      <formula>AND($C22-TODAY()&lt;30,TODAY()&lt;$C22)</formula>
    </cfRule>
  </conditionalFormatting>
  <conditionalFormatting sqref="C22:D22">
    <cfRule type="cellIs" dxfId="200" priority="45" stopIfTrue="1" operator="lessThan">
      <formula>$B$2</formula>
    </cfRule>
  </conditionalFormatting>
  <conditionalFormatting sqref="D15">
    <cfRule type="expression" dxfId="199" priority="42">
      <formula>AND($C15-TODAY()&lt;30,TODAY()&lt;$C15)</formula>
    </cfRule>
  </conditionalFormatting>
  <conditionalFormatting sqref="D15">
    <cfRule type="cellIs" dxfId="198" priority="43" stopIfTrue="1" operator="lessThan">
      <formula>$B$2</formula>
    </cfRule>
  </conditionalFormatting>
  <conditionalFormatting sqref="C17:D17">
    <cfRule type="expression" dxfId="197" priority="40">
      <formula>AND($C17-TODAY()&lt;30,TODAY()&lt;$C17)</formula>
    </cfRule>
  </conditionalFormatting>
  <conditionalFormatting sqref="C17:D17">
    <cfRule type="cellIs" dxfId="196" priority="41" stopIfTrue="1" operator="lessThan">
      <formula>$B$2</formula>
    </cfRule>
  </conditionalFormatting>
  <conditionalFormatting sqref="C19:D19">
    <cfRule type="expression" dxfId="195" priority="38">
      <formula>AND($C19-TODAY()&lt;30,TODAY()&lt;$C19)</formula>
    </cfRule>
  </conditionalFormatting>
  <conditionalFormatting sqref="C19:D19">
    <cfRule type="cellIs" dxfId="194" priority="39" stopIfTrue="1" operator="lessThan">
      <formula>$B$2</formula>
    </cfRule>
  </conditionalFormatting>
  <conditionalFormatting sqref="C21:D21">
    <cfRule type="expression" dxfId="193" priority="36">
      <formula>AND($C21-TODAY()&lt;30,TODAY()&lt;$C21)</formula>
    </cfRule>
  </conditionalFormatting>
  <conditionalFormatting sqref="C21:D21">
    <cfRule type="cellIs" dxfId="192" priority="37" stopIfTrue="1" operator="lessThan">
      <formula>$B$2</formula>
    </cfRule>
  </conditionalFormatting>
  <conditionalFormatting sqref="C23:D23">
    <cfRule type="expression" dxfId="191" priority="34">
      <formula>AND($C23-TODAY()&lt;30,TODAY()&lt;$C23)</formula>
    </cfRule>
  </conditionalFormatting>
  <conditionalFormatting sqref="C23:D23">
    <cfRule type="cellIs" dxfId="190" priority="35" stopIfTrue="1" operator="lessThan">
      <formula>$B$2</formula>
    </cfRule>
  </conditionalFormatting>
  <conditionalFormatting sqref="G16">
    <cfRule type="cellIs" dxfId="189" priority="32" stopIfTrue="1" operator="lessThan">
      <formula>$B$2</formula>
    </cfRule>
  </conditionalFormatting>
  <conditionalFormatting sqref="G18">
    <cfRule type="cellIs" dxfId="188" priority="31" stopIfTrue="1" operator="lessThan">
      <formula>$B$2</formula>
    </cfRule>
  </conditionalFormatting>
  <conditionalFormatting sqref="G22">
    <cfRule type="cellIs" dxfId="187" priority="30" stopIfTrue="1" operator="lessThan">
      <formula>$B$2</formula>
    </cfRule>
  </conditionalFormatting>
  <conditionalFormatting sqref="G21">
    <cfRule type="cellIs" dxfId="186" priority="29" stopIfTrue="1" operator="lessThan">
      <formula>$B$2</formula>
    </cfRule>
  </conditionalFormatting>
  <conditionalFormatting sqref="G17">
    <cfRule type="cellIs" dxfId="185" priority="28" stopIfTrue="1" operator="lessThan">
      <formula>$B$2</formula>
    </cfRule>
  </conditionalFormatting>
  <conditionalFormatting sqref="B4:B14 F4:F14 B16:B23 F16:F23">
    <cfRule type="cellIs" dxfId="184" priority="27" stopIfTrue="1" operator="equal">
      <formula>"已过期"</formula>
    </cfRule>
  </conditionalFormatting>
  <conditionalFormatting sqref="H28">
    <cfRule type="expression" dxfId="183" priority="25">
      <formula>AND($F28-TODAY()&lt;30,TODAY()&lt;$F28)</formula>
    </cfRule>
  </conditionalFormatting>
  <conditionalFormatting sqref="H28">
    <cfRule type="cellIs" dxfId="182" priority="26" stopIfTrue="1" operator="lessThan">
      <formula>$B$2</formula>
    </cfRule>
  </conditionalFormatting>
  <conditionalFormatting sqref="H29">
    <cfRule type="expression" dxfId="181" priority="23" stopIfTrue="1">
      <formula>AND($F29-TODAY()&lt;30,TODAY()&lt;$F29)</formula>
    </cfRule>
  </conditionalFormatting>
  <conditionalFormatting sqref="H29">
    <cfRule type="cellIs" dxfId="180" priority="24" stopIfTrue="1" operator="lessThan">
      <formula>$B$2</formula>
    </cfRule>
  </conditionalFormatting>
  <conditionalFormatting sqref="C5">
    <cfRule type="expression" dxfId="179" priority="21">
      <formula>AND($C5-TODAY()&lt;30,TODAY()&lt;$C5)</formula>
    </cfRule>
  </conditionalFormatting>
  <conditionalFormatting sqref="C5">
    <cfRule type="cellIs" dxfId="178" priority="22" stopIfTrue="1" operator="lessThan">
      <formula>$B$2</formula>
    </cfRule>
  </conditionalFormatting>
  <conditionalFormatting sqref="C4:C6">
    <cfRule type="expression" dxfId="177" priority="19">
      <formula>AND($C4-TODAY()&lt;30,TODAY()&lt;$C4)</formula>
    </cfRule>
  </conditionalFormatting>
  <conditionalFormatting sqref="C4:C6">
    <cfRule type="cellIs" dxfId="176" priority="20" stopIfTrue="1" operator="lessThan">
      <formula>$B$2</formula>
    </cfRule>
  </conditionalFormatting>
  <conditionalFormatting sqref="C8">
    <cfRule type="expression" dxfId="175" priority="17">
      <formula>AND($C8-TODAY()&lt;30,TODAY()&lt;$C8)</formula>
    </cfRule>
  </conditionalFormatting>
  <conditionalFormatting sqref="C8">
    <cfRule type="cellIs" dxfId="174" priority="18" stopIfTrue="1" operator="lessThan">
      <formula>$B$2</formula>
    </cfRule>
  </conditionalFormatting>
  <conditionalFormatting sqref="C9">
    <cfRule type="expression" dxfId="173" priority="15">
      <formula>AND($C9-TODAY()&lt;30,TODAY()&lt;$C9)</formula>
    </cfRule>
  </conditionalFormatting>
  <conditionalFormatting sqref="C9">
    <cfRule type="cellIs" dxfId="172" priority="16" stopIfTrue="1" operator="lessThan">
      <formula>$B$2</formula>
    </cfRule>
  </conditionalFormatting>
  <conditionalFormatting sqref="C13">
    <cfRule type="expression" dxfId="171" priority="13">
      <formula>AND($C13-TODAY()&lt;30,TODAY()&lt;$C13)</formula>
    </cfRule>
  </conditionalFormatting>
  <conditionalFormatting sqref="C13">
    <cfRule type="cellIs" dxfId="170" priority="14" stopIfTrue="1" operator="lessThan">
      <formula>$B$2</formula>
    </cfRule>
  </conditionalFormatting>
  <conditionalFormatting sqref="C15">
    <cfRule type="expression" dxfId="169" priority="11">
      <formula>AND($C15-TODAY()&lt;30,TODAY()&lt;$C15)</formula>
    </cfRule>
  </conditionalFormatting>
  <conditionalFormatting sqref="C15">
    <cfRule type="cellIs" dxfId="168" priority="12" stopIfTrue="1" operator="lessThan">
      <formula>$B$2</formula>
    </cfRule>
  </conditionalFormatting>
  <conditionalFormatting sqref="C15">
    <cfRule type="expression" dxfId="167" priority="9">
      <formula>AND($C15-TODAY()&lt;30,TODAY()&lt;$C15)</formula>
    </cfRule>
  </conditionalFormatting>
  <conditionalFormatting sqref="C15">
    <cfRule type="cellIs" dxfId="166" priority="10" stopIfTrue="1" operator="lessThan">
      <formula>$B$2</formula>
    </cfRule>
  </conditionalFormatting>
  <conditionalFormatting sqref="B15">
    <cfRule type="cellIs" dxfId="165" priority="8" stopIfTrue="1" operator="equal">
      <formula>"已过期"</formula>
    </cfRule>
  </conditionalFormatting>
  <conditionalFormatting sqref="A15">
    <cfRule type="cellIs" dxfId="164" priority="7" stopIfTrue="1" operator="equal">
      <formula>"已过期"</formula>
    </cfRule>
  </conditionalFormatting>
  <conditionalFormatting sqref="C15">
    <cfRule type="expression" dxfId="163" priority="6">
      <formula>AND($C15-TODAY()&lt;30,TODAY()&lt;$C15)</formula>
    </cfRule>
  </conditionalFormatting>
  <conditionalFormatting sqref="F15">
    <cfRule type="cellIs" dxfId="162" priority="5" stopIfTrue="1" operator="equal">
      <formula>"已过期"</formula>
    </cfRule>
  </conditionalFormatting>
  <conditionalFormatting sqref="E15">
    <cfRule type="cellIs" dxfId="161" priority="4" stopIfTrue="1" operator="equal">
      <formula>"已过期"</formula>
    </cfRule>
  </conditionalFormatting>
  <conditionalFormatting sqref="A24:C24">
    <cfRule type="cellIs" dxfId="160" priority="3" stopIfTrue="1" operator="equal">
      <formula>"已过期"</formula>
    </cfRule>
  </conditionalFormatting>
  <conditionalFormatting sqref="E24:G24">
    <cfRule type="cellIs" dxfId="159" priority="2" stopIfTrue="1" operator="equal">
      <formula>"已过期"</formula>
    </cfRule>
  </conditionalFormatting>
  <conditionalFormatting sqref="G13">
    <cfRule type="cellIs" dxfId="158"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0" customWidth="1"/>
    <col min="2" max="2" width="22.5" style="1019"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9" customWidth="1"/>
    <col min="27" max="16384" width="9" style="1019"/>
  </cols>
  <sheetData>
    <row r="1" spans="1:25" s="1018" customFormat="1" ht="27">
      <c r="A1" s="996" t="s">
        <v>544</v>
      </c>
      <c r="B1" s="186" t="s">
        <v>268</v>
      </c>
      <c r="C1" s="1600" t="s">
        <v>1802</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1772</v>
      </c>
      <c r="Q1" s="3" t="s">
        <v>2534</v>
      </c>
      <c r="R1" s="3" t="s">
        <v>2535</v>
      </c>
      <c r="S1" s="187" t="s">
        <v>281</v>
      </c>
      <c r="T1" s="188" t="s">
        <v>282</v>
      </c>
      <c r="U1" s="187" t="s">
        <v>283</v>
      </c>
      <c r="V1" s="187" t="s">
        <v>284</v>
      </c>
      <c r="W1" s="1291" t="s">
        <v>1775</v>
      </c>
      <c r="X1" s="1291" t="s">
        <v>2301</v>
      </c>
      <c r="Y1" s="1291" t="s">
        <v>2307</v>
      </c>
    </row>
    <row r="2" spans="1:25">
      <c r="A2" s="2595" t="s">
        <v>116</v>
      </c>
      <c r="B2" s="2595" t="s">
        <v>2559</v>
      </c>
      <c r="C2" s="1601" t="s">
        <v>1803</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2529</v>
      </c>
      <c r="S2" s="189" t="s">
        <v>243</v>
      </c>
      <c r="T2" s="189" t="s">
        <v>244</v>
      </c>
      <c r="U2" s="189" t="s">
        <v>243</v>
      </c>
      <c r="V2" s="189" t="s">
        <v>245</v>
      </c>
      <c r="W2" s="189" t="s">
        <v>243</v>
      </c>
      <c r="X2" s="2350" t="s">
        <v>2308</v>
      </c>
      <c r="Y2" s="2350" t="s">
        <v>2303</v>
      </c>
    </row>
    <row r="3" spans="1:25">
      <c r="A3" s="2595" t="s">
        <v>575</v>
      </c>
      <c r="B3" s="2596" t="s">
        <v>2560</v>
      </c>
      <c r="C3" s="1602" t="s">
        <v>1804</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2530</v>
      </c>
      <c r="S3" s="189" t="s">
        <v>251</v>
      </c>
      <c r="T3" s="189" t="s">
        <v>252</v>
      </c>
      <c r="U3" s="189" t="s">
        <v>251</v>
      </c>
      <c r="V3" s="189" t="s">
        <v>253</v>
      </c>
      <c r="W3" s="189" t="s">
        <v>251</v>
      </c>
      <c r="X3" s="2350" t="s">
        <v>2309</v>
      </c>
      <c r="Y3" s="2350" t="s">
        <v>2305</v>
      </c>
    </row>
    <row r="4" spans="1:25">
      <c r="A4" s="2595" t="s">
        <v>576</v>
      </c>
      <c r="B4" s="2596" t="s">
        <v>2561</v>
      </c>
      <c r="C4" s="1601" t="s">
        <v>1805</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2531</v>
      </c>
      <c r="S4" s="189" t="s">
        <v>254</v>
      </c>
      <c r="T4" s="189" t="s">
        <v>255</v>
      </c>
      <c r="U4" s="189" t="s">
        <v>254</v>
      </c>
      <c r="W4" s="189" t="s">
        <v>254</v>
      </c>
      <c r="X4" s="2350" t="s">
        <v>2310</v>
      </c>
      <c r="Y4" s="2350" t="s">
        <v>2311</v>
      </c>
    </row>
    <row r="5" spans="1:25">
      <c r="A5" s="2595" t="s">
        <v>577</v>
      </c>
      <c r="B5" s="2595" t="s">
        <v>2562</v>
      </c>
      <c r="C5" s="1601" t="s">
        <v>1806</v>
      </c>
      <c r="F5" s="189" t="s">
        <v>256</v>
      </c>
      <c r="H5" s="189" t="s">
        <v>257</v>
      </c>
      <c r="I5" s="189" t="s">
        <v>258</v>
      </c>
      <c r="K5" s="189" t="s">
        <v>259</v>
      </c>
      <c r="L5" s="189" t="s">
        <v>259</v>
      </c>
      <c r="M5" s="189" t="s">
        <v>259</v>
      </c>
      <c r="N5" s="189" t="s">
        <v>259</v>
      </c>
      <c r="O5" s="189" t="s">
        <v>259</v>
      </c>
      <c r="P5" s="189" t="s">
        <v>259</v>
      </c>
      <c r="Q5" s="189" t="s">
        <v>259</v>
      </c>
      <c r="R5" s="2350" t="s">
        <v>2532</v>
      </c>
      <c r="S5" s="189" t="s">
        <v>259</v>
      </c>
      <c r="T5" s="189" t="s">
        <v>260</v>
      </c>
      <c r="U5" s="189" t="s">
        <v>259</v>
      </c>
      <c r="W5" s="189" t="s">
        <v>259</v>
      </c>
      <c r="X5" s="1761"/>
      <c r="Y5" s="1023"/>
    </row>
    <row r="6" spans="1:25">
      <c r="A6" s="2595" t="s">
        <v>578</v>
      </c>
      <c r="B6" s="2595" t="s">
        <v>2563</v>
      </c>
      <c r="C6" s="1603" t="s">
        <v>165</v>
      </c>
      <c r="F6" s="189" t="s">
        <v>261</v>
      </c>
      <c r="H6" s="189" t="s">
        <v>262</v>
      </c>
      <c r="I6" s="189" t="s">
        <v>263</v>
      </c>
      <c r="K6" s="189" t="s">
        <v>264</v>
      </c>
      <c r="L6" s="189" t="s">
        <v>264</v>
      </c>
      <c r="M6" s="189" t="s">
        <v>264</v>
      </c>
      <c r="N6" s="189" t="s">
        <v>264</v>
      </c>
      <c r="O6" s="189" t="s">
        <v>264</v>
      </c>
      <c r="P6" s="189" t="s">
        <v>264</v>
      </c>
      <c r="Q6" s="189" t="s">
        <v>264</v>
      </c>
      <c r="R6" s="2350" t="s">
        <v>2533</v>
      </c>
      <c r="S6" s="189" t="s">
        <v>264</v>
      </c>
      <c r="T6" s="189"/>
      <c r="U6" s="189" t="s">
        <v>264</v>
      </c>
      <c r="W6" s="189" t="s">
        <v>264</v>
      </c>
      <c r="X6" s="1761"/>
      <c r="Y6" s="1023"/>
    </row>
    <row r="7" spans="1:25">
      <c r="A7" s="2595" t="s">
        <v>579</v>
      </c>
      <c r="B7" s="2596" t="s">
        <v>2564</v>
      </c>
      <c r="C7" s="1601" t="s">
        <v>166</v>
      </c>
      <c r="F7" s="189" t="s">
        <v>265</v>
      </c>
      <c r="H7" s="189" t="s">
        <v>266</v>
      </c>
      <c r="I7" s="189" t="s">
        <v>267</v>
      </c>
      <c r="R7" s="2350"/>
      <c r="X7" s="2349"/>
    </row>
    <row r="8" spans="1:25">
      <c r="A8" s="2595" t="s">
        <v>580</v>
      </c>
      <c r="B8" s="2596" t="s">
        <v>2565</v>
      </c>
      <c r="C8" s="1601" t="s">
        <v>1807</v>
      </c>
      <c r="F8" s="189" t="s">
        <v>294</v>
      </c>
      <c r="H8" s="189" t="s">
        <v>295</v>
      </c>
      <c r="I8" s="189" t="s">
        <v>296</v>
      </c>
      <c r="X8" s="2349"/>
    </row>
    <row r="9" spans="1:25">
      <c r="A9" s="2595" t="s">
        <v>581</v>
      </c>
      <c r="B9" s="2595" t="s">
        <v>2566</v>
      </c>
      <c r="C9" s="1601" t="s">
        <v>1808</v>
      </c>
      <c r="F9" s="189" t="s">
        <v>297</v>
      </c>
      <c r="H9" s="189" t="s">
        <v>298</v>
      </c>
    </row>
    <row r="10" spans="1:25">
      <c r="A10" s="2595" t="s">
        <v>582</v>
      </c>
      <c r="B10" s="2595" t="s">
        <v>2567</v>
      </c>
      <c r="C10" s="1601" t="s">
        <v>1809</v>
      </c>
      <c r="F10" s="189" t="s">
        <v>36</v>
      </c>
    </row>
    <row r="11" spans="1:25">
      <c r="A11" s="2595" t="s">
        <v>583</v>
      </c>
      <c r="B11" s="2595" t="s">
        <v>2568</v>
      </c>
      <c r="C11" s="1601" t="s">
        <v>1810</v>
      </c>
    </row>
    <row r="12" spans="1:25">
      <c r="A12" s="2595" t="s">
        <v>584</v>
      </c>
      <c r="B12" s="2595" t="s">
        <v>2569</v>
      </c>
      <c r="C12" s="1601" t="s">
        <v>1811</v>
      </c>
    </row>
    <row r="13" spans="1:25">
      <c r="A13" s="2595" t="s">
        <v>585</v>
      </c>
      <c r="B13" s="2595" t="s">
        <v>2570</v>
      </c>
      <c r="C13" s="1601" t="s">
        <v>1812</v>
      </c>
    </row>
    <row r="14" spans="1:25">
      <c r="A14" s="2595" t="s">
        <v>586</v>
      </c>
      <c r="B14" s="2595" t="s">
        <v>2571</v>
      </c>
      <c r="C14" s="1604"/>
    </row>
    <row r="15" spans="1:25">
      <c r="A15" s="2595" t="s">
        <v>587</v>
      </c>
      <c r="B15" s="2595" t="s">
        <v>2572</v>
      </c>
      <c r="C15" s="1604"/>
    </row>
    <row r="16" spans="1:25">
      <c r="A16" s="2595" t="s">
        <v>588</v>
      </c>
      <c r="B16" s="2595" t="s">
        <v>2573</v>
      </c>
      <c r="C16" s="1604"/>
    </row>
    <row r="17" spans="1:3">
      <c r="A17" s="2595" t="s">
        <v>589</v>
      </c>
      <c r="B17" s="2595" t="s">
        <v>2574</v>
      </c>
      <c r="C17" s="1604"/>
    </row>
    <row r="18" spans="1:3">
      <c r="A18" s="2595" t="s">
        <v>590</v>
      </c>
      <c r="B18" s="2595" t="s">
        <v>2759</v>
      </c>
      <c r="C18" s="1604"/>
    </row>
    <row r="19" spans="1:3">
      <c r="A19" s="2595" t="s">
        <v>591</v>
      </c>
      <c r="B19" s="2595" t="s">
        <v>2760</v>
      </c>
      <c r="C19" s="1604"/>
    </row>
    <row r="20" spans="1:3">
      <c r="A20" s="2595" t="s">
        <v>592</v>
      </c>
      <c r="B20" s="2595" t="s">
        <v>1797</v>
      </c>
      <c r="C20" s="1604"/>
    </row>
    <row r="21" spans="1:3">
      <c r="A21" s="2595" t="s">
        <v>593</v>
      </c>
      <c r="B21" s="2595" t="s">
        <v>1797</v>
      </c>
      <c r="C21" s="1604"/>
    </row>
    <row r="22" spans="1:3">
      <c r="A22" s="2595" t="s">
        <v>594</v>
      </c>
      <c r="B22" s="2595" t="s">
        <v>1797</v>
      </c>
      <c r="C22" s="1604"/>
    </row>
    <row r="23" spans="1:3">
      <c r="A23" s="2595" t="s">
        <v>595</v>
      </c>
      <c r="B23" s="2595" t="s">
        <v>1797</v>
      </c>
      <c r="C23" s="1604"/>
    </row>
    <row r="24" spans="1:3">
      <c r="A24" s="2595" t="s">
        <v>596</v>
      </c>
      <c r="B24" s="2595" t="s">
        <v>1797</v>
      </c>
      <c r="C24" s="1604"/>
    </row>
    <row r="25" spans="1:3">
      <c r="A25" s="2595" t="s">
        <v>597</v>
      </c>
      <c r="B25" s="2595" t="s">
        <v>1797</v>
      </c>
      <c r="C25" s="1604"/>
    </row>
    <row r="26" spans="1:3">
      <c r="A26" s="2595" t="s">
        <v>598</v>
      </c>
      <c r="B26" s="2595" t="s">
        <v>1797</v>
      </c>
      <c r="C26" s="1604"/>
    </row>
    <row r="27" spans="1:3">
      <c r="A27" s="2595" t="s">
        <v>1797</v>
      </c>
      <c r="B27" s="2595" t="s">
        <v>1797</v>
      </c>
      <c r="C27" s="1604"/>
    </row>
    <row r="28" spans="1:3">
      <c r="A28" s="2595" t="s">
        <v>1797</v>
      </c>
      <c r="B28" s="2595" t="s">
        <v>1797</v>
      </c>
      <c r="C28" s="1604"/>
    </row>
    <row r="29" spans="1:3">
      <c r="A29" s="2595" t="s">
        <v>1797</v>
      </c>
      <c r="B29" s="2595" t="s">
        <v>1797</v>
      </c>
      <c r="C29" s="1604"/>
    </row>
    <row r="30" spans="1:3">
      <c r="A30" s="2595" t="s">
        <v>1797</v>
      </c>
      <c r="B30" s="2595" t="s">
        <v>1797</v>
      </c>
      <c r="C30" s="1604"/>
    </row>
    <row r="31" spans="1:3">
      <c r="A31" s="2595" t="s">
        <v>1797</v>
      </c>
      <c r="B31" s="2595" t="s">
        <v>1797</v>
      </c>
      <c r="C31" s="1604"/>
    </row>
    <row r="32" spans="1:3">
      <c r="A32" s="2595" t="s">
        <v>1797</v>
      </c>
      <c r="B32" s="2595" t="s">
        <v>1797</v>
      </c>
      <c r="C32" s="1604"/>
    </row>
    <row r="33" spans="1:3">
      <c r="A33" s="2595" t="s">
        <v>1797</v>
      </c>
      <c r="B33" s="2595" t="s">
        <v>1797</v>
      </c>
      <c r="C33" s="1604"/>
    </row>
    <row r="34" spans="1:3">
      <c r="A34" s="2595" t="s">
        <v>1797</v>
      </c>
      <c r="B34" s="2595" t="s">
        <v>1797</v>
      </c>
      <c r="C34" s="1604"/>
    </row>
    <row r="35" spans="1:3">
      <c r="A35" s="2595" t="s">
        <v>1797</v>
      </c>
      <c r="B35" s="2595" t="s">
        <v>1797</v>
      </c>
      <c r="C35" s="1604"/>
    </row>
    <row r="36" spans="1:3">
      <c r="A36" s="2595" t="s">
        <v>1797</v>
      </c>
      <c r="B36" s="2595" t="s">
        <v>1797</v>
      </c>
      <c r="C36" s="1604"/>
    </row>
    <row r="37" spans="1:3">
      <c r="A37" s="2595" t="s">
        <v>1797</v>
      </c>
      <c r="B37" s="2595" t="s">
        <v>1797</v>
      </c>
      <c r="C37" s="1604"/>
    </row>
    <row r="38" spans="1:3">
      <c r="A38" s="2595" t="s">
        <v>1797</v>
      </c>
      <c r="B38" s="2595" t="s">
        <v>1797</v>
      </c>
      <c r="C38" s="1604"/>
    </row>
    <row r="39" spans="1:3">
      <c r="A39" s="2595" t="s">
        <v>1797</v>
      </c>
      <c r="B39" s="2595" t="s">
        <v>1797</v>
      </c>
      <c r="C39" s="1604"/>
    </row>
    <row r="40" spans="1:3">
      <c r="A40" s="2595" t="s">
        <v>1797</v>
      </c>
      <c r="B40" s="2595" t="s">
        <v>1797</v>
      </c>
      <c r="C40" s="1604"/>
    </row>
    <row r="41" spans="1:3">
      <c r="A41" s="2595" t="s">
        <v>1797</v>
      </c>
      <c r="B41" s="2595" t="s">
        <v>1797</v>
      </c>
      <c r="C41" s="1604"/>
    </row>
    <row r="42" spans="1:3">
      <c r="A42" s="2595" t="s">
        <v>1797</v>
      </c>
      <c r="B42" s="2595" t="s">
        <v>1797</v>
      </c>
      <c r="C42" s="1604"/>
    </row>
    <row r="43" spans="1:3">
      <c r="A43" s="2595" t="s">
        <v>1797</v>
      </c>
      <c r="B43" s="2595" t="s">
        <v>1797</v>
      </c>
      <c r="C43" s="1604"/>
    </row>
    <row r="44" spans="1:3">
      <c r="A44" s="2595" t="s">
        <v>1797</v>
      </c>
      <c r="B44" s="2595" t="s">
        <v>1797</v>
      </c>
      <c r="C44" s="1604"/>
    </row>
    <row r="45" spans="1:3">
      <c r="A45" s="2595" t="s">
        <v>1797</v>
      </c>
      <c r="B45" s="2595" t="s">
        <v>1797</v>
      </c>
      <c r="C45" s="1604"/>
    </row>
    <row r="46" spans="1:3">
      <c r="A46" s="2595" t="s">
        <v>1797</v>
      </c>
      <c r="B46" s="2595" t="s">
        <v>1797</v>
      </c>
      <c r="C46" s="1604"/>
    </row>
    <row r="47" spans="1:3">
      <c r="A47" s="2595" t="s">
        <v>1797</v>
      </c>
      <c r="B47" s="2595" t="s">
        <v>1797</v>
      </c>
      <c r="C47" s="1604"/>
    </row>
    <row r="48" spans="1:3">
      <c r="A48" s="2595" t="s">
        <v>1797</v>
      </c>
      <c r="B48" s="2595" t="s">
        <v>1797</v>
      </c>
      <c r="C48" s="1604"/>
    </row>
    <row r="49" spans="1:4">
      <c r="A49" s="2595" t="s">
        <v>1797</v>
      </c>
      <c r="B49" s="2595" t="s">
        <v>1797</v>
      </c>
      <c r="C49" s="1604"/>
    </row>
    <row r="50" spans="1:4">
      <c r="A50" s="2595" t="s">
        <v>1797</v>
      </c>
      <c r="B50" s="2595" t="s">
        <v>1797</v>
      </c>
      <c r="C50" s="1604"/>
    </row>
    <row r="51" spans="1:4">
      <c r="A51" s="1760" t="s">
        <v>1952</v>
      </c>
      <c r="B51" s="1023" t="str">
        <f>"为估价委托人在向"&amp;项目基本情况!B5&amp;"办理贷款手续过程中，确定房地产抵押贷款额度提供参考依据而评估房地产抵押价值。"</f>
        <v>为估价委托人在向华夏银行股份有限公司北京车公庄支行办理贷款手续过程中，确定房地产抵押贷款额度提供参考依据而评估房地产抵押价值。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明德拟使用北京市房地产作为抵押担保物，向华夏银行股份有限公司北京车公庄支行办理贷款手续。华夏银行股份有限公司北京车公庄支行特委托北京康正宏基房地产评估有限公司对上述抵押物进行评估。本次评估为确定房地产抵押贷款额度提供参考依据而评估房地产抵押价值。</v>
      </c>
      <c r="D51" s="1898" t="s">
        <v>2726</v>
      </c>
    </row>
    <row r="52" spans="1:4">
      <c r="A52" s="1760" t="s">
        <v>1968</v>
      </c>
      <c r="B52" s="1760" t="s">
        <v>1967</v>
      </c>
      <c r="C52" s="1023" t="s">
        <v>1966</v>
      </c>
      <c r="D52" s="1023" t="s">
        <v>2014</v>
      </c>
    </row>
    <row r="53" spans="1:4" ht="14.25" customHeight="1">
      <c r="A53" s="3181" t="s">
        <v>1958</v>
      </c>
      <c r="B53" s="1023" t="s">
        <v>1957</v>
      </c>
      <c r="C53" s="102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本次估价的“房地产价值”是指在正常市场情况下，在价值时点2017年9月20日，估价对象规划用途为办公，假定未设立法定优先受偿款下的房地产市场价值。</v>
      </c>
    </row>
    <row r="54" spans="1:4">
      <c r="A54" s="3181"/>
      <c r="B54" s="1023" t="s">
        <v>1964</v>
      </c>
      <c r="C54" s="1023" t="s">
        <v>2723</v>
      </c>
    </row>
    <row r="55" spans="1:4">
      <c r="A55" s="3181"/>
      <c r="B55" s="1023" t="s">
        <v>1959</v>
      </c>
      <c r="C55" s="1023" t="s">
        <v>2724</v>
      </c>
    </row>
    <row r="56" spans="1:4">
      <c r="A56" s="3181"/>
      <c r="B56" s="1023" t="s">
        <v>1960</v>
      </c>
      <c r="C56" s="1023" t="s">
        <v>2748</v>
      </c>
    </row>
    <row r="57" spans="1:4">
      <c r="A57" s="3181"/>
      <c r="B57" s="1023" t="s">
        <v>1961</v>
      </c>
      <c r="C57" s="1023" t="s">
        <v>2725</v>
      </c>
    </row>
    <row r="58" spans="1:4">
      <c r="A58" s="1762"/>
      <c r="B58" s="1761"/>
      <c r="C58" s="1023"/>
    </row>
    <row r="59" spans="1:4">
      <c r="A59" s="1762"/>
      <c r="B59" s="1761"/>
      <c r="C59" s="1023"/>
    </row>
    <row r="60" spans="1:4">
      <c r="A60" s="1022"/>
      <c r="B60" s="1023"/>
      <c r="C60" s="1023"/>
    </row>
    <row r="61" spans="1:4">
      <c r="A61" s="1022"/>
      <c r="B61" s="1023"/>
      <c r="C61" s="1023"/>
    </row>
    <row r="62" spans="1:4">
      <c r="A62" s="1022"/>
      <c r="B62" s="1023"/>
      <c r="C62" s="1023"/>
    </row>
    <row r="63" spans="1:4">
      <c r="A63" s="1022"/>
      <c r="B63" s="1023"/>
      <c r="C63" s="1023"/>
    </row>
    <row r="64" spans="1:4">
      <c r="A64" s="1022"/>
      <c r="B64" s="1023"/>
      <c r="C64" s="1023"/>
    </row>
    <row r="65" spans="1:3">
      <c r="A65" s="1022"/>
      <c r="B65" s="1023"/>
      <c r="C65" s="1023"/>
    </row>
    <row r="66" spans="1:3">
      <c r="A66" s="1022"/>
      <c r="B66" s="1023"/>
      <c r="C66" s="1023"/>
    </row>
    <row r="67" spans="1:3">
      <c r="A67" s="1022"/>
      <c r="B67" s="1023"/>
      <c r="C67" s="1023"/>
    </row>
    <row r="68" spans="1:3">
      <c r="A68" s="1022"/>
      <c r="B68" s="1023"/>
      <c r="C68" s="1023"/>
    </row>
    <row r="69" spans="1:3">
      <c r="A69" s="1022"/>
      <c r="B69" s="1023"/>
      <c r="C69" s="1023"/>
    </row>
    <row r="70" spans="1:3">
      <c r="A70" s="1022"/>
      <c r="B70" s="1023"/>
      <c r="C70" s="1023"/>
    </row>
    <row r="71" spans="1:3">
      <c r="A71" s="1022"/>
      <c r="B71" s="1023"/>
      <c r="C71" s="1023"/>
    </row>
    <row r="72" spans="1:3">
      <c r="A72" s="1022"/>
      <c r="B72" s="1023"/>
      <c r="C72" s="1023"/>
    </row>
    <row r="73" spans="1:3">
      <c r="A73" s="1022"/>
      <c r="B73" s="1023"/>
      <c r="C73" s="1023"/>
    </row>
    <row r="74" spans="1:3">
      <c r="A74" s="1022"/>
      <c r="B74" s="1023"/>
      <c r="C74" s="1023"/>
    </row>
    <row r="75" spans="1:3">
      <c r="A75" s="1022"/>
      <c r="B75" s="1023"/>
      <c r="C75" s="1023"/>
    </row>
    <row r="76" spans="1:3">
      <c r="A76" s="1022"/>
      <c r="B76" s="1023"/>
      <c r="C76" s="1023"/>
    </row>
    <row r="77" spans="1:3">
      <c r="A77" s="1022"/>
      <c r="B77" s="1023"/>
      <c r="C77" s="1023"/>
    </row>
    <row r="78" spans="1:3">
      <c r="A78" s="1022"/>
      <c r="B78" s="1023"/>
      <c r="C78" s="1023"/>
    </row>
    <row r="79" spans="1:3">
      <c r="A79" s="1022"/>
      <c r="B79" s="1023"/>
      <c r="C79" s="1023"/>
    </row>
    <row r="80" spans="1:3">
      <c r="A80" s="1022"/>
      <c r="B80" s="1023"/>
      <c r="C80" s="1023"/>
    </row>
    <row r="81" spans="1:3">
      <c r="A81" s="1022"/>
      <c r="B81" s="1023"/>
      <c r="C81" s="1023"/>
    </row>
    <row r="82" spans="1:3">
      <c r="A82" s="1022"/>
      <c r="B82" s="1023"/>
      <c r="C82" s="1023"/>
    </row>
    <row r="83" spans="1:3">
      <c r="A83" s="1022"/>
      <c r="B83" s="1023"/>
      <c r="C83" s="1023"/>
    </row>
    <row r="84" spans="1:3">
      <c r="A84" s="1022"/>
      <c r="B84" s="1023"/>
      <c r="C84" s="1023"/>
    </row>
    <row r="85" spans="1:3">
      <c r="A85" s="1022"/>
      <c r="B85" s="1023"/>
      <c r="C85" s="1023"/>
    </row>
    <row r="86" spans="1:3">
      <c r="A86" s="1022"/>
      <c r="B86" s="1023"/>
      <c r="C86" s="1023"/>
    </row>
    <row r="87" spans="1:3">
      <c r="A87" s="1022"/>
      <c r="B87" s="1023"/>
      <c r="C87" s="1023"/>
    </row>
    <row r="88" spans="1:3">
      <c r="A88" s="1022"/>
      <c r="B88" s="1023"/>
      <c r="C88" s="1023"/>
    </row>
    <row r="89" spans="1:3">
      <c r="A89" s="1022"/>
      <c r="B89" s="1023"/>
      <c r="C89" s="1023"/>
    </row>
    <row r="90" spans="1:3">
      <c r="A90" s="1022"/>
      <c r="B90" s="1023"/>
      <c r="C90" s="1023"/>
    </row>
    <row r="91" spans="1:3">
      <c r="A91" s="1022"/>
      <c r="B91" s="1023"/>
      <c r="C91" s="1023"/>
    </row>
    <row r="92" spans="1:3">
      <c r="A92" s="1022"/>
      <c r="B92" s="1023"/>
      <c r="C92" s="1023"/>
    </row>
    <row r="93" spans="1:3">
      <c r="A93" s="1022"/>
      <c r="B93" s="1023"/>
      <c r="C93" s="1023"/>
    </row>
    <row r="94" spans="1:3">
      <c r="A94" s="1022"/>
      <c r="B94" s="1023"/>
      <c r="C94" s="1023"/>
    </row>
    <row r="95" spans="1:3">
      <c r="A95" s="1022"/>
      <c r="B95" s="1023"/>
      <c r="C95" s="1023"/>
    </row>
    <row r="96" spans="1:3">
      <c r="A96" s="1022"/>
      <c r="B96" s="1023"/>
      <c r="C96" s="1023"/>
    </row>
    <row r="97" spans="1:3">
      <c r="A97" s="1022"/>
      <c r="B97" s="1023"/>
      <c r="C97" s="1023"/>
    </row>
    <row r="98" spans="1:3">
      <c r="A98" s="1022"/>
      <c r="B98" s="1023"/>
      <c r="C98" s="1023"/>
    </row>
    <row r="99" spans="1:3">
      <c r="A99" s="1022"/>
      <c r="B99" s="1023"/>
      <c r="C99" s="1023"/>
    </row>
    <row r="100" spans="1:3">
      <c r="A100" s="1022"/>
      <c r="B100" s="1023"/>
      <c r="C100" s="1023"/>
    </row>
    <row r="101" spans="1:3">
      <c r="A101" s="1022"/>
      <c r="B101" s="1023"/>
      <c r="C101" s="1023"/>
    </row>
    <row r="102" spans="1:3">
      <c r="A102" s="1022"/>
      <c r="B102" s="1023"/>
      <c r="C102" s="1023"/>
    </row>
    <row r="103" spans="1:3">
      <c r="A103" s="1022"/>
      <c r="B103" s="1023"/>
      <c r="C103" s="1023"/>
    </row>
    <row r="104" spans="1:3">
      <c r="A104" s="1022"/>
      <c r="B104" s="1023"/>
      <c r="C104" s="1023"/>
    </row>
    <row r="105" spans="1:3">
      <c r="A105" s="1022"/>
      <c r="B105" s="1023"/>
      <c r="C105" s="1023"/>
    </row>
    <row r="106" spans="1:3">
      <c r="A106" s="1022"/>
      <c r="B106" s="1023"/>
      <c r="C106" s="1023"/>
    </row>
    <row r="107" spans="1:3">
      <c r="A107" s="1022"/>
      <c r="B107" s="1023"/>
      <c r="C107" s="1023"/>
    </row>
    <row r="108" spans="1:3">
      <c r="A108" s="1022"/>
      <c r="B108" s="1023"/>
      <c r="C108" s="1023"/>
    </row>
    <row r="109" spans="1:3">
      <c r="A109" s="1022"/>
      <c r="B109" s="1023"/>
      <c r="C109" s="1023"/>
    </row>
    <row r="110" spans="1:3">
      <c r="A110" s="1022"/>
      <c r="B110" s="1023"/>
      <c r="C110" s="1023"/>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测算结果</vt:lpstr>
      <vt:lpstr>收益法</vt:lpstr>
      <vt:lpstr>酒店收入计算</vt:lpstr>
      <vt:lpstr>收益法 (2)</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明细表</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2017-03-01T09:24:22Z</cp:lastPrinted>
  <dcterms:created xsi:type="dcterms:W3CDTF">2015-07-13T07:17:23Z</dcterms:created>
  <dcterms:modified xsi:type="dcterms:W3CDTF">2017-09-25T02:45:15Z</dcterms:modified>
</cp:coreProperties>
</file>